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920" activeTab="1"/>
  </bookViews>
  <sheets>
    <sheet name="Opći dio" sheetId="1" r:id="rId1"/>
    <sheet name="Posebni dio" sheetId="2" r:id="rId2"/>
  </sheets>
  <definedNames/>
  <calcPr fullCalcOnLoad="1"/>
</workbook>
</file>

<file path=xl/sharedStrings.xml><?xml version="1.0" encoding="utf-8"?>
<sst xmlns="http://schemas.openxmlformats.org/spreadsheetml/2006/main" count="1630" uniqueCount="707">
  <si>
    <t>Rashodi poslovanja</t>
  </si>
  <si>
    <t>Rashodi za nabavu nefinancijske imovine</t>
  </si>
  <si>
    <t>Rashodi za zaposlene</t>
  </si>
  <si>
    <t>Ostali rashodi za zaposlene</t>
  </si>
  <si>
    <t>Doprinosi na plaće</t>
  </si>
  <si>
    <t>Materijalni rashodi</t>
  </si>
  <si>
    <t>Naknade troškova zaposlenima</t>
  </si>
  <si>
    <t>Rashodi za usluge</t>
  </si>
  <si>
    <t>Financijski rashodi</t>
  </si>
  <si>
    <t>Ostali financijski rashodi</t>
  </si>
  <si>
    <t>Subvencije</t>
  </si>
  <si>
    <t>Donacije i ostali rashodi</t>
  </si>
  <si>
    <t>Tekuće donacije</t>
  </si>
  <si>
    <t>Građevinski objekti</t>
  </si>
  <si>
    <t>Postrojenja i oprema</t>
  </si>
  <si>
    <t>Prijevozna sredstva</t>
  </si>
  <si>
    <t>Šifra</t>
  </si>
  <si>
    <t>ŠIFRA</t>
  </si>
  <si>
    <t>ŠIFRA BROJ</t>
  </si>
  <si>
    <t>Programska</t>
  </si>
  <si>
    <t>izvor</t>
  </si>
  <si>
    <t>Program/projekt</t>
  </si>
  <si>
    <t>Aktivnosti</t>
  </si>
  <si>
    <t>Račun</t>
  </si>
  <si>
    <t>UKUPNO RASHODI I IZDACI</t>
  </si>
  <si>
    <t>Aktivnost:</t>
  </si>
  <si>
    <t>Rashodi za materijal i energiju</t>
  </si>
  <si>
    <t>Rashodi za nabavu nefinanc.imovine</t>
  </si>
  <si>
    <t>Rashodi za nabavu proizvedene dugotrajne imovine</t>
  </si>
  <si>
    <t>Rashod.za nabavu neproizvedene dugotrajne imovine</t>
  </si>
  <si>
    <t>Nematerijalna proizvedena imovina</t>
  </si>
  <si>
    <t>Naknade građanima i kućanstvima na temelju osiguranja i dr.</t>
  </si>
  <si>
    <t>Ostale naknade građan.i kućanst.iz proračuna</t>
  </si>
  <si>
    <t>Naknade građanima i kućanstv.na temelju osiguranja i dr.</t>
  </si>
  <si>
    <t>Ostali nespomenuti rashodi poslovanja</t>
  </si>
  <si>
    <t>Ostale naknade građan.i kućanstvima iz proračuna</t>
  </si>
  <si>
    <t>Šifra izvora:</t>
  </si>
  <si>
    <t>01-Opće javne usluge</t>
  </si>
  <si>
    <t>Funk-</t>
  </si>
  <si>
    <t xml:space="preserve">   VRSTA RASHODA</t>
  </si>
  <si>
    <t xml:space="preserve">   I IZDATAKA</t>
  </si>
  <si>
    <t>Rashodi za nabavu proizv.dugotr.imovine</t>
  </si>
  <si>
    <t>Donošenje akata i mjera iz djelokruga</t>
  </si>
  <si>
    <t xml:space="preserve"> predstavničkog i izvršnog tijela i mjesne samouprave</t>
  </si>
  <si>
    <t xml:space="preserve">Program 01: </t>
  </si>
  <si>
    <t xml:space="preserve">                      </t>
  </si>
  <si>
    <t xml:space="preserve">Aktivnost:  </t>
  </si>
  <si>
    <t>Djelokrug mjesne samouprave</t>
  </si>
  <si>
    <t xml:space="preserve">Aktivnost: </t>
  </si>
  <si>
    <t>VATROGASTVO I CIVILNA ZAŠTITA</t>
  </si>
  <si>
    <t xml:space="preserve">Aktivnost :  </t>
  </si>
  <si>
    <t>Aktivnosti:</t>
  </si>
  <si>
    <t>GLAVA 00101:</t>
  </si>
  <si>
    <t>Općinsko vijeće i povjerenstva</t>
  </si>
  <si>
    <t>Funkcijska klasifikacija:</t>
  </si>
  <si>
    <t>Administrativno, tehničko i stručno osoblje</t>
  </si>
  <si>
    <t>Usluge promidžbe i informiranja</t>
  </si>
  <si>
    <t>Reprezentacija</t>
  </si>
  <si>
    <t>Plaće za redovan rad</t>
  </si>
  <si>
    <t>Službena putovanja</t>
  </si>
  <si>
    <t>Naknade za prijevoz</t>
  </si>
  <si>
    <t>Stručno usavršavanje djelatnika</t>
  </si>
  <si>
    <t>Uredski materijal i ostali materijalni rashodi</t>
  </si>
  <si>
    <t>Energija</t>
  </si>
  <si>
    <t>Sitni inventar i autogume</t>
  </si>
  <si>
    <t>Usluge telefona, pošte i prijevoza</t>
  </si>
  <si>
    <t>Usluge tekućeg i invest.održavanja postrojenja i opreme</t>
  </si>
  <si>
    <t>Komunalne usluge</t>
  </si>
  <si>
    <t>Ugovori o djelu</t>
  </si>
  <si>
    <t>Usluge odvjetnika i pravnog savjetnika</t>
  </si>
  <si>
    <t>Računalne usluge</t>
  </si>
  <si>
    <t>Ostale usluge</t>
  </si>
  <si>
    <t>Premije osiguranja</t>
  </si>
  <si>
    <t>Članarine</t>
  </si>
  <si>
    <t>Bankarske usluge i usluge platnog prometa</t>
  </si>
  <si>
    <t>Računala i računalna oprema</t>
  </si>
  <si>
    <t>Tekuće donacije u novcu</t>
  </si>
  <si>
    <t>Ostali rashodi</t>
  </si>
  <si>
    <t>Komunalne usluge (deratizacija)</t>
  </si>
  <si>
    <t>Zdravstvene i veterinarske usluge</t>
  </si>
  <si>
    <t>Usluge nadzora za provedbu deratizacije</t>
  </si>
  <si>
    <t>Naknade štete pravnim i fizičkim osobama</t>
  </si>
  <si>
    <t xml:space="preserve">Ostali rashodi   </t>
  </si>
  <si>
    <t>OPĆINSKO VIJEĆE</t>
  </si>
  <si>
    <t xml:space="preserve">RAZDJEL  001  </t>
  </si>
  <si>
    <t xml:space="preserve">GLAVA 00301: </t>
  </si>
  <si>
    <t>UKUPNO AKTIVNOST:</t>
  </si>
  <si>
    <t>Ostale intelektualne usluge-održavanje web stranice</t>
  </si>
  <si>
    <t>Usluge tekućeg i invest.održa. prijevoznih sredstava</t>
  </si>
  <si>
    <t>Tekuće donacije - UNICEF Zagreb</t>
  </si>
  <si>
    <t>Službena, radna i zaštitna odjeća i obuća</t>
  </si>
  <si>
    <t>Ostali materijali za potrebe redovnog poslovanja</t>
  </si>
  <si>
    <t>Ostale zdravstvene i veterinarske usluge-liječ.pregled</t>
  </si>
  <si>
    <t>Članak 4.</t>
  </si>
  <si>
    <t>Članak 5.</t>
  </si>
  <si>
    <t>Bonus za uspješan rad</t>
  </si>
  <si>
    <t>Naknada za korištenje priv.automobila u služb.svrhe</t>
  </si>
  <si>
    <t>Zdravstvene usluge - zaštita na radu</t>
  </si>
  <si>
    <t>Zdravstvene usluge - sistematski pregled</t>
  </si>
  <si>
    <t>Ostale intelek.usluge - stručno-tehničko savjetovanje</t>
  </si>
  <si>
    <t>Pristojbe i naknade</t>
  </si>
  <si>
    <t>Ostale intelektualne usluge - konzultantske usluge</t>
  </si>
  <si>
    <t>Plaće za prekovremeni rad</t>
  </si>
  <si>
    <t>Naknada za korišt.priv.automobila u služb.svrhe</t>
  </si>
  <si>
    <t>Naknada troškova osobama izvan radnog odnosa</t>
  </si>
  <si>
    <t>Nak.troš.sl.puta osobama koje nisu u radnom odnosu</t>
  </si>
  <si>
    <t>Nak.ostalih troš. osobama koje nisu u radnom odnosu</t>
  </si>
  <si>
    <t>Ostale intelektualne usluge - osposobljavanje</t>
  </si>
  <si>
    <t>Uređaji, str. i oprema za ostale namjene - pres-kontejner</t>
  </si>
  <si>
    <t>Oprema za ostale namjene - košare za smeće</t>
  </si>
  <si>
    <t>Oprema za ostale namjene - kolica za čistače</t>
  </si>
  <si>
    <t>Plaće za redovan rad - službenici</t>
  </si>
  <si>
    <t>Naknade za prijevoz - službenici</t>
  </si>
  <si>
    <t>Naknade - referendum</t>
  </si>
  <si>
    <t>Komunalne usluge - VD sanacija odlagališta</t>
  </si>
  <si>
    <t>Komunalne usluge - VD sanitarno-fekalna kanal.</t>
  </si>
  <si>
    <t>Usluge tekućeg i invest. održ. - čišćenje snijega</t>
  </si>
  <si>
    <t>Sitni inventar</t>
  </si>
  <si>
    <t>Rashodi za nabavu neproizvedene dugotrajne imovine</t>
  </si>
  <si>
    <t>Oprema</t>
  </si>
  <si>
    <t>Sanacija i održavanje septičkih jama</t>
  </si>
  <si>
    <t>Naknade - EU izbori</t>
  </si>
  <si>
    <t>Tekuće donacije - financiranje izborne promidžbe</t>
  </si>
  <si>
    <t xml:space="preserve">Tekuće donacije  </t>
  </si>
  <si>
    <t>Usluge tekućeg i invest.održavanja - ostalo</t>
  </si>
  <si>
    <t>Usluge telefona - bonovi</t>
  </si>
  <si>
    <t>Reprezentacija - izvršni čelnik</t>
  </si>
  <si>
    <t>GLAVA 00102:</t>
  </si>
  <si>
    <t>GLAVA 00201:</t>
  </si>
  <si>
    <t>RAZDJEL 003</t>
  </si>
  <si>
    <t xml:space="preserve">Izvršno tijelo </t>
  </si>
  <si>
    <t>Funkcijska klasifikacija:03-Javni red i sigurnost</t>
  </si>
  <si>
    <t>Rashodi za nabavu nematerijalne  proizvedene imovine</t>
  </si>
  <si>
    <t xml:space="preserve">Usluge promidžbe i informiranja </t>
  </si>
  <si>
    <t>Uredski materijal i ostali materijalni  rashodi</t>
  </si>
  <si>
    <t>Naknade za rad predst.i izvrš.tijela,povjer.i ostalo</t>
  </si>
  <si>
    <t>Usluge tekućeg i investicijskog održavanja</t>
  </si>
  <si>
    <t>UKUPNO AKTIVNOSTI:</t>
  </si>
  <si>
    <t xml:space="preserve">Rashodi za zaposlene </t>
  </si>
  <si>
    <t xml:space="preserve">Plaće (bruto) za redovni rad </t>
  </si>
  <si>
    <t>Doprinos za zdravstveno osiguranje</t>
  </si>
  <si>
    <t>Doprinos za obvezno zdravstveno osiguranje</t>
  </si>
  <si>
    <t>Ostali nespomenuti rashodi poslovanja-protokol</t>
  </si>
  <si>
    <t>Naknade za rad predstavničkih i izvršnih tijela-
Naknade za rad vijeća srpske nacionalne manjine</t>
  </si>
  <si>
    <t>Materijali rashodi</t>
  </si>
  <si>
    <t>Darovi</t>
  </si>
  <si>
    <t>Naknade za bolest,invalidnost i smrtni slučaj</t>
  </si>
  <si>
    <t>Doprinos za mirovinsko osiguranje</t>
  </si>
  <si>
    <t>Rashodi za zaposlene-službenici i namještenici</t>
  </si>
  <si>
    <t>Plaće (bruto)-službenici i namještenici</t>
  </si>
  <si>
    <t>Rashodi poslovanja-samo službenici i namještenici</t>
  </si>
  <si>
    <t>Doprinos na plaće</t>
  </si>
  <si>
    <t>Tekuće donacije -Hrvatski crveni križ</t>
  </si>
  <si>
    <t>1.Opći prihodi i primici</t>
  </si>
  <si>
    <t>Financiranja</t>
  </si>
  <si>
    <t>Redovna djelatnost općinskog vijeća</t>
  </si>
  <si>
    <t>A100101</t>
  </si>
  <si>
    <t>P1001</t>
  </si>
  <si>
    <t>A100102</t>
  </si>
  <si>
    <t>MJESNI ODBORI</t>
  </si>
  <si>
    <t>P1002</t>
  </si>
  <si>
    <t>A100201</t>
  </si>
  <si>
    <t>P1003</t>
  </si>
  <si>
    <t>A100301</t>
  </si>
  <si>
    <t>UKUPNO RAZDJEL 001</t>
  </si>
  <si>
    <t>Ukupno GLAVA 00102</t>
  </si>
  <si>
    <t>UKUPNO RAZDJEL 002-IZVRŠNO TIJELO</t>
  </si>
  <si>
    <t>GLAVA 00103:</t>
  </si>
  <si>
    <t xml:space="preserve">RAZDJEL  002  </t>
  </si>
  <si>
    <t xml:space="preserve"> Predstavničko tijelo</t>
  </si>
  <si>
    <t>P1004</t>
  </si>
  <si>
    <t>A100401</t>
  </si>
  <si>
    <t>UKUPNO GLAVA 00103</t>
  </si>
  <si>
    <t>UKUPNO GLAVA 00104-Izvršno tijelo</t>
  </si>
  <si>
    <t>Ukupno GLAVA    00101</t>
  </si>
  <si>
    <t>Program 04:</t>
  </si>
  <si>
    <t xml:space="preserve">Program 05: </t>
  </si>
  <si>
    <t>P1005</t>
  </si>
  <si>
    <t>A100501</t>
  </si>
  <si>
    <t>JAVNA UPRAVA I ADMINISTRACIJA-JEDINSTVENI UPRAVNI ODJEL</t>
  </si>
  <si>
    <t>P1006</t>
  </si>
  <si>
    <t>A100601</t>
  </si>
  <si>
    <t>Kazne,penali i naknada štete</t>
  </si>
  <si>
    <t>A100602</t>
  </si>
  <si>
    <t>PROGRAM 06</t>
  </si>
  <si>
    <t>Aktivnost</t>
  </si>
  <si>
    <t>PROGRAM 07</t>
  </si>
  <si>
    <t>P1007</t>
  </si>
  <si>
    <t>K100701</t>
  </si>
  <si>
    <t>Postrojenja i opreme</t>
  </si>
  <si>
    <t>Ulaganje u računalne programe</t>
  </si>
  <si>
    <t>Ostali građevinski objekti</t>
  </si>
  <si>
    <t>PROGRAM 08</t>
  </si>
  <si>
    <t>P1008</t>
  </si>
  <si>
    <t>A100801</t>
  </si>
  <si>
    <t>Subvenc. trg.društ.,poljoprivrednicima izvan javn. Sekt.</t>
  </si>
  <si>
    <t>Subvencije poljoprivrednicima i obrtnicima</t>
  </si>
  <si>
    <t>PROGRAM 09</t>
  </si>
  <si>
    <t>P1009</t>
  </si>
  <si>
    <t>A100901</t>
  </si>
  <si>
    <t>P10010</t>
  </si>
  <si>
    <t>PROGRAM 11                      ORGANIZIRANJE I PROVOĐENJE ZAŠTITE I SPAŠAVANJA</t>
  </si>
  <si>
    <t>P10011</t>
  </si>
  <si>
    <t>PROGRAM 12</t>
  </si>
  <si>
    <t>P10012</t>
  </si>
  <si>
    <t>PROGRAM 13</t>
  </si>
  <si>
    <t>P10013</t>
  </si>
  <si>
    <t>A100131</t>
  </si>
  <si>
    <t>Doprinosi za obvezno zdravstveno osiguranje</t>
  </si>
  <si>
    <t>PROGRAM  14</t>
  </si>
  <si>
    <t>P10014</t>
  </si>
  <si>
    <t>PROGRAM 15</t>
  </si>
  <si>
    <t>P10015</t>
  </si>
  <si>
    <t>P10016</t>
  </si>
  <si>
    <t>PROGRAM 16</t>
  </si>
  <si>
    <t>PROGRAM 17</t>
  </si>
  <si>
    <t>P10017</t>
  </si>
  <si>
    <t>PROGRAM 18</t>
  </si>
  <si>
    <t>MODERNIZACIJA JAVNE RASVJETE</t>
  </si>
  <si>
    <t>P10018</t>
  </si>
  <si>
    <t>Nabava i ugradnja led rasvjete</t>
  </si>
  <si>
    <t>Kapitalni projek</t>
  </si>
  <si>
    <t>Kapitalni projekt</t>
  </si>
  <si>
    <t>PROGRAM 19</t>
  </si>
  <si>
    <t>P10019</t>
  </si>
  <si>
    <t>K100191</t>
  </si>
  <si>
    <t>PROGRAM 20</t>
  </si>
  <si>
    <t>P10020</t>
  </si>
  <si>
    <t>PROGRAM 21</t>
  </si>
  <si>
    <t>PROGRAM 22</t>
  </si>
  <si>
    <t>PROGRAM 23</t>
  </si>
  <si>
    <t>POTICANJE MJERA DEMOGRAFSKE OBNOVE</t>
  </si>
  <si>
    <t>P10022</t>
  </si>
  <si>
    <t>P10023</t>
  </si>
  <si>
    <t xml:space="preserve">Tekuće donacije </t>
  </si>
  <si>
    <t>P10025</t>
  </si>
  <si>
    <t>Tekuće donacije u novcu sportskim udrugama i društvima</t>
  </si>
  <si>
    <t>PROGRAM 26</t>
  </si>
  <si>
    <t>P10026</t>
  </si>
  <si>
    <t>P10027</t>
  </si>
  <si>
    <t>PROGRAM 27</t>
  </si>
  <si>
    <t>UKUPNO GLAVA 00301</t>
  </si>
  <si>
    <t>UKUPNO RAZDJEL 003</t>
  </si>
  <si>
    <t>Izbori za mjesne odbore</t>
  </si>
  <si>
    <t>Zaštita prava nacionalnih manjina</t>
  </si>
  <si>
    <t>Naknade za prijevoz - dužnosnici</t>
  </si>
  <si>
    <t>042</t>
  </si>
  <si>
    <t>0474</t>
  </si>
  <si>
    <t xml:space="preserve">Rashodi za usluge </t>
  </si>
  <si>
    <t xml:space="preserve">Tekuće donacije   </t>
  </si>
  <si>
    <t>Tekuće donacije u novcu - udruge</t>
  </si>
  <si>
    <t>Plaće (bruto)</t>
  </si>
  <si>
    <t>PROGRAM 02</t>
  </si>
  <si>
    <t>PREDSTAVNIČKA I IZVRŠNA TIJELA</t>
  </si>
  <si>
    <t>PRIPREMA I DONOŠENJE AKATA IZ DJELOKRUGA TIJELA</t>
  </si>
  <si>
    <t xml:space="preserve"> ORGANIZIRANJE I PROVOĐENJE ZAŠTITE I SPAŠAVANJA</t>
  </si>
  <si>
    <t>0320</t>
  </si>
  <si>
    <t>Ugradnja led rasvjete</t>
  </si>
  <si>
    <t>Naknade za rad predstavničkih tijela, povjerenstava i sl.</t>
  </si>
  <si>
    <t>Naknade za rad pred. i izvršnih tijela, povj. i sl.</t>
  </si>
  <si>
    <t>Šifra izvora</t>
  </si>
  <si>
    <t>A.RAČUN PRIHODA I RASHODA</t>
  </si>
  <si>
    <t>B.RAČUN ZADUŽIVANJA/FINANCIRANJA</t>
  </si>
  <si>
    <t>C.RASPOLOŽIVA SREDSTVA IZ PRETHODNIH GODINA(VIŠAK PRIHODA I REZERVIRANJA)</t>
  </si>
  <si>
    <t>D. PRORAČUN UKUPNO</t>
  </si>
  <si>
    <t>Br.konta</t>
  </si>
  <si>
    <t>VRSTA PRIHODA/RASHODA</t>
  </si>
  <si>
    <t>Prihodi od poreza</t>
  </si>
  <si>
    <t>Porez i prirez na dohodak</t>
  </si>
  <si>
    <t>Porez na imovinu</t>
  </si>
  <si>
    <t>Porez na robu i usluge</t>
  </si>
  <si>
    <t>Ostali prihodi od poreza</t>
  </si>
  <si>
    <t>Prihodi od imovine</t>
  </si>
  <si>
    <t>Prihodi od financijske imovine</t>
  </si>
  <si>
    <t>Prihodi od nefinancijske imovine</t>
  </si>
  <si>
    <t>Administrativne(upravne)pristojbe</t>
  </si>
  <si>
    <t>Prih.po poseb.propisima</t>
  </si>
  <si>
    <t>Komunalni doprinosi i naknade</t>
  </si>
  <si>
    <t>Ostali prihodi</t>
  </si>
  <si>
    <t>Prih.od prodaje neproizved.imovine</t>
  </si>
  <si>
    <t>Prihod.od prodaje mater.imovine</t>
  </si>
  <si>
    <t>Plaće</t>
  </si>
  <si>
    <t>Rashodi  za materijal i energiju</t>
  </si>
  <si>
    <t>Naknade troš. osobama izvan radnog odnosa</t>
  </si>
  <si>
    <t>Ostali nespome.rashodi poslova.</t>
  </si>
  <si>
    <t>Subvencije trgovačkim druš.i obrt.izvan jav.sekt.</t>
  </si>
  <si>
    <t>Naknade kućanstvima i građanima</t>
  </si>
  <si>
    <t>Kapitalne donacije</t>
  </si>
  <si>
    <t>Kazne, penali i naknade šteta</t>
  </si>
  <si>
    <t>Izvanredni rashodi</t>
  </si>
  <si>
    <t>Kapitalne pomoći</t>
  </si>
  <si>
    <t>Knjige,umjet.djela itd.</t>
  </si>
  <si>
    <t>Primici od zaduživanja</t>
  </si>
  <si>
    <t>Izdaci za dane zajmove trg. društvima</t>
  </si>
  <si>
    <t>Rezultat poslovanja</t>
  </si>
  <si>
    <t>Višak/manjak prihoda</t>
  </si>
  <si>
    <t>Naknade - izbori za mjesne odbore</t>
  </si>
  <si>
    <t>Tekuće donacije - Hitna pomoć</t>
  </si>
  <si>
    <t>Tekuće donacije - udruga umirovljenika</t>
  </si>
  <si>
    <t>Prihodi ukupno:</t>
  </si>
  <si>
    <t>5. Pomoći</t>
  </si>
  <si>
    <t>2. Doprinosi</t>
  </si>
  <si>
    <t>3. Vlastiti prihodi</t>
  </si>
  <si>
    <t>4. Prihodi za posebne namjene</t>
  </si>
  <si>
    <t>6. Donacije</t>
  </si>
  <si>
    <t>Naknade - izbori za VSNM</t>
  </si>
  <si>
    <t>Usluge tekućeg i inv.održavanja - groblja i spomen ploče</t>
  </si>
  <si>
    <t>Sitni inventar - nabava klupa i druge urbane opreme</t>
  </si>
  <si>
    <t>Tekuće pomoći od ostalih subjekata- Hrvatske ceste</t>
  </si>
  <si>
    <t>Naknade - lokalni izbori</t>
  </si>
  <si>
    <t>Dodatna ulaganja na prijevoznim sredstvima</t>
  </si>
  <si>
    <t>Ostale intelektualne usluge-pravo na pristup informacijama</t>
  </si>
  <si>
    <t>PROGRAM  24</t>
  </si>
  <si>
    <t>PROGRAM 25</t>
  </si>
  <si>
    <t>Primljeni krediti i zajmovi kreditnih i ost.fin.inst.izvan javnog sektora/trg.društva u javnom sektoru</t>
  </si>
  <si>
    <t>Dani zajmovi trg.društvu u javnom sektoru - dugoročni</t>
  </si>
  <si>
    <t>Izdaci za otplatu glavnice primljenih zajmova</t>
  </si>
  <si>
    <t>Troškovi za izbore članova vijeća MO</t>
  </si>
  <si>
    <t>Igraonice za djecu - cjelogodišnji program</t>
  </si>
  <si>
    <t>Rashodi za nabavu nematerijalne proizvedene imovine</t>
  </si>
  <si>
    <t>Ostala zemljišta</t>
  </si>
  <si>
    <t>Materijalna imovina-prirodna bogatstva</t>
  </si>
  <si>
    <t xml:space="preserve">Postrojenja i oprema </t>
  </si>
  <si>
    <t xml:space="preserve">Aktivnost </t>
  </si>
  <si>
    <t>Funkcijska klasi.</t>
  </si>
  <si>
    <t>Naknade građanima i kućanstvima</t>
  </si>
  <si>
    <t>Ostale naknade građanima i kućanstvima</t>
  </si>
  <si>
    <t>Nagrade vatrogascima</t>
  </si>
  <si>
    <t>Oprema za održavanje i zaštitu (i/ili civilnu zaštitu)</t>
  </si>
  <si>
    <t>Uređaji, strojevi za ostale namjene - video nadzor</t>
  </si>
  <si>
    <t>Ostale intelektualne usluge-održavanje računovodstvenog programa i  digitalne arhive</t>
  </si>
  <si>
    <t>Uređenje zelenih površina uz prometnice naseljenih mjesta.</t>
  </si>
  <si>
    <t>Kazne, upravne mjere i ostali prihodi</t>
  </si>
  <si>
    <t>T100202</t>
  </si>
  <si>
    <t>Ostali građevinski objekti - obnova suhozida u funkciji očuvanja kulturne baštine.</t>
  </si>
  <si>
    <t xml:space="preserve">Komunalne usluge-čišćenje IMHOFF taložnika </t>
  </si>
  <si>
    <t>4.</t>
  </si>
  <si>
    <t>Postrojenja i oprema-</t>
  </si>
  <si>
    <t>ZBRINJAVANJE I GOSPODARENJE OTPADOM</t>
  </si>
  <si>
    <t>Funkcijska klasifikacija:05-Zaštita okoliša</t>
  </si>
  <si>
    <t>Sanacija odlagališta komunalnog otpada "Macure-Jelenik"</t>
  </si>
  <si>
    <t xml:space="preserve">Izgradnja reciklažnog dvorišta građevnog materijala </t>
  </si>
  <si>
    <t>Tekuće donacije u novcu - udruga partner</t>
  </si>
  <si>
    <t>A100701</t>
  </si>
  <si>
    <t>P10024</t>
  </si>
  <si>
    <t>DJELOKRUG RADA MJESNE SAMOUPRAVE
Funkcijska klasifikacija:01-Opće javne usluge
Redovna djelatnost mjesnih odmora</t>
  </si>
  <si>
    <t>Aktivnost:              Funkcijska klasifikacija:01-Opće javne usluge</t>
  </si>
  <si>
    <t>Program 03            OSNOVNE FUNKCIJE VIJEĆA SRPSKE NACIONALNE MANJINE</t>
  </si>
  <si>
    <t xml:space="preserve">Funkcijska klasifikacija:1-Opće javne usluge </t>
  </si>
  <si>
    <t xml:space="preserve">Aktivnost:             
</t>
  </si>
  <si>
    <t>REDOVNA DJELATNOST IZVRŠNOG ČELNIKA
Funkcijska klasifikacija:1-Opće javne usluge</t>
  </si>
  <si>
    <t>UPRAVLJANJE IMOVINOM
Funkcijska klasifikacija:1-Opće javne usluge</t>
  </si>
  <si>
    <t>JAČANJE GOSPODARSTVA
Funkcijska klasifikacija:4-Ekonomski poslovi</t>
  </si>
  <si>
    <t xml:space="preserve">Aktivnost:              Funkcijska klasifikacija:4-Ekonomski poslovi </t>
  </si>
  <si>
    <t>Aktivnosti              Funkcijska klasifikacija:4-Ekonomski poslovi</t>
  </si>
  <si>
    <t>ODRŽAVANJE KOMUNALNE INFRASTRUKTURE
Održavanje cesta i drugih javnih površina
Funkcijska klasifikacija:04-Ekonomski poslovi</t>
  </si>
  <si>
    <t>JAVNI RADOVI 
Funkcijska klasifikacija:05-Zaštita okoliša</t>
  </si>
  <si>
    <t>ZAŠTITA OKOLIŠA
Funkcijska klasifikacija:05-Zaštita okoliša</t>
  </si>
  <si>
    <t xml:space="preserve">Aktivnost:              Funkcijska klasifikacija:09-Obrazovanje </t>
  </si>
  <si>
    <t xml:space="preserve">PREDŠKOLSKI ODGOJ I OBRAZOVANJE
Program male škole 
Funkcijska klasifikacija:09-Obrazovanje </t>
  </si>
  <si>
    <t xml:space="preserve">Aktivnost:              </t>
  </si>
  <si>
    <t>PROMICANJE KULTURE
Manifestacije u kulturi
Funkcijska klasifikacija:08-Rekreacija,kultura i religija</t>
  </si>
  <si>
    <t>RAZVOJ SPORTA I REKREACIJE
Osnovna djelatnost sportskih udruga
Funkcijska klasifikacija:08-Rekreacija,kultura i religija</t>
  </si>
  <si>
    <t xml:space="preserve">PREVENCIJA KRIMINALITETA U ZAJEDNICI
Prevencija kriminaliteta u zajednici
Funkcijska klasifikacija:3-Javni red i sigurost </t>
  </si>
  <si>
    <t>P10021</t>
  </si>
  <si>
    <t>Izgradnja /kapelice/ograde groblja</t>
  </si>
  <si>
    <t>KLASA:</t>
  </si>
  <si>
    <t>URBROJ:</t>
  </si>
  <si>
    <t>Ostale-naknade zbog zaštićenih  prirodnih područja (od NP Krka)</t>
  </si>
  <si>
    <t>OPREMANJE OPĆINSKE UPRAVE
Funkcijska klasifikacija:1-Opće javne usluge</t>
  </si>
  <si>
    <t>Pomoć proračunu iz proračuna-županija</t>
  </si>
  <si>
    <t>Pomoć od ostalih subjekata unutar općeg proračuna-žup.sud</t>
  </si>
  <si>
    <t>Pomoć od ostalih subjekata unutar općeg proračuna-FZOEU</t>
  </si>
  <si>
    <t>Pomoć od ostalih subjekata unutar općeg proračuna-Hrvatske vode</t>
  </si>
  <si>
    <t>Izrada dokumentacije za nadmetanje za provedbu natječaja za izvođenje radova na sanaciji odlagališta 
komunalnog otpada-radova,nadzor,tehničku pomoć 
i promidžbu.</t>
  </si>
  <si>
    <t>Usluge tek.i invest.održa.zgrada i poslovnih prostora u 
vlasništvu općine.</t>
  </si>
  <si>
    <t>7.Prihodi od prodaje ili zamjene
   nefinancijske imovine</t>
  </si>
  <si>
    <t>8.Namjenski primici</t>
  </si>
  <si>
    <t>Rashodi za dodatna ulaganja na nefinancijskoj imovini</t>
  </si>
  <si>
    <t>Dodatna ulaganja na građevinskim objektima</t>
  </si>
  <si>
    <t xml:space="preserve">Subvencioniranje u poljoprivredi i obrtnicima izvan javnog sektora </t>
  </si>
  <si>
    <t>Pomoć  iz inozemstva i od subjekata unutar općeg proračuna</t>
  </si>
  <si>
    <t>Pomoć iz proračuna-MRRFEU</t>
  </si>
  <si>
    <t>Pomoć od ostalih subjekata unutar općeg proračuna-HZZ-javni rad</t>
  </si>
  <si>
    <t>Pomoći temeljem prijenosa sredstava od EU -projekt HZZ-"Žene rade"</t>
  </si>
  <si>
    <t>Subvencije trgovačkim društvima u javnom sektoru</t>
  </si>
  <si>
    <t xml:space="preserve">   6      Prihodi poslovanja </t>
  </si>
  <si>
    <t xml:space="preserve">   7      Prihodi od prodaje nefinancijske imovine</t>
  </si>
  <si>
    <t xml:space="preserve">   4      Rashodi za nabavu nefinancijske imovine</t>
  </si>
  <si>
    <t xml:space="preserve">           Rashodi ukupno:</t>
  </si>
  <si>
    <t xml:space="preserve">           RAZLIKA-MANJAK</t>
  </si>
  <si>
    <t xml:space="preserve">        NETO ZADUŽIVANJE/FINANCIRANJE</t>
  </si>
  <si>
    <t>Uredski materijal i ostali materijalni rashodi-sredstva za
 čišćenje i održavanje ,higijenske potrebe i njegu</t>
  </si>
  <si>
    <t>A100603</t>
  </si>
  <si>
    <t xml:space="preserve">Dodatna ulaganja za ostalu nefinancijsku imovinu </t>
  </si>
  <si>
    <t xml:space="preserve">Ostali nespomenuti rashodi poslovanja-ukupni neizravni 
troškovi provedbe projekta </t>
  </si>
  <si>
    <t>Usluge tekućeg invest.održavanja atomobila</t>
  </si>
  <si>
    <t xml:space="preserve">      Razlika-manjak</t>
  </si>
  <si>
    <t xml:space="preserve">      Ukupno rashodi i izdaci</t>
  </si>
  <si>
    <t xml:space="preserve">      Ukupno prihodi i primici</t>
  </si>
  <si>
    <t xml:space="preserve">
C.RASPOLOŽIVA SREDSTVA IZ PRETHODNIH GODINA (višak prihoda i rezerviranja)</t>
  </si>
  <si>
    <t xml:space="preserve">        Višak/manjak iz prethodnih godina (višak prihoda i rezerviranja)</t>
  </si>
  <si>
    <t xml:space="preserve"> VIŠAK/MANJAK+NETO ZADUŽIVANJA/FINANCIRANJA+RASPOLOŽIVA SREDSTVA IZ PRETHODNIH GODINA</t>
  </si>
  <si>
    <t>Ostale intelektualne usluge-prov.j.nab.</t>
  </si>
  <si>
    <t>FOTONAPONSKI PANELI/INSTALACIJA BEŽIĆNOG INTERNETA</t>
  </si>
  <si>
    <t>Uredski materijal-školski pribor-radni materijal</t>
  </si>
  <si>
    <t xml:space="preserve">Uredski materijal-radni materijal za učenike </t>
  </si>
  <si>
    <t>Neto zaduživanje</t>
  </si>
  <si>
    <t>Višak/manjak</t>
  </si>
  <si>
    <t>Članak 1.</t>
  </si>
  <si>
    <t>Članak 2.</t>
  </si>
  <si>
    <t>Članak 3.</t>
  </si>
  <si>
    <t xml:space="preserve">Uredska oprema i namještaj </t>
  </si>
  <si>
    <t>Tekuće donacije u novcu (DVD)</t>
  </si>
  <si>
    <t xml:space="preserve">Sanacija zidova lokvi (Lokva Lalića,lokva u Varivodama i dr.) </t>
  </si>
  <si>
    <t xml:space="preserve">   3      Rashodi poslovanja</t>
  </si>
  <si>
    <t xml:space="preserve"> 8    Primici od financijske imovine i zaduživanja(Račun od financijske imovine
       i zaduživanja)</t>
  </si>
  <si>
    <t xml:space="preserve"> 5   Izdaci za financijsku imovinu i otplate zajmova</t>
  </si>
  <si>
    <t xml:space="preserve"> 9     Vlastiti izvori</t>
  </si>
  <si>
    <t xml:space="preserve">Kamate za primljene kredite i zajmove </t>
  </si>
  <si>
    <t>Kamate za primljene kredite  od kreditnih i ostalih financijskih 
institucija izvan javnog sektora</t>
  </si>
  <si>
    <t xml:space="preserve">Prihodi od prodaje građevinskih objekata </t>
  </si>
  <si>
    <t xml:space="preserve">Otplata kratkoročnog kredita -ERSTE </t>
  </si>
  <si>
    <t>Kamate za primljene kredite-zajmove</t>
  </si>
  <si>
    <t>Uređenje temelja i ili konstrukcije  autobusnih nadstrešnica</t>
  </si>
  <si>
    <t>Energija-motorni benzin i sl.</t>
  </si>
  <si>
    <t>Kapitalne pomoći trgovačkim društvima u javnom sektoru (kupnja kombi
 vozila K.P.Kistanje d.o.o. )</t>
  </si>
  <si>
    <t>Kapitalne pomoći trgovačkim društvima u javnom sektoru
(kupnja smećara -specijalnog kom.vozila za sakupljanje i odvoz
komunalnog otpada).</t>
  </si>
  <si>
    <t>Pomoći unutar opće države</t>
  </si>
  <si>
    <t>Pomoći dane u inozemstvu i unutar opće države</t>
  </si>
  <si>
    <t>Pomoć iz proračuna-Min.prostor.uređenja, graditeljstva i državne imov.</t>
  </si>
  <si>
    <t>Prihodi od prodaje postrojenja i opreme</t>
  </si>
  <si>
    <t>Kapitalne donacije neprofitnim organizacijama</t>
  </si>
  <si>
    <t>T100402</t>
  </si>
  <si>
    <t>Izvanredni rashodi (Donacije i ostali rashodi-Tekuća zaliha proračuna)</t>
  </si>
  <si>
    <t>Prihodi od prodaje uredske opreme i namještaja  ppk</t>
  </si>
  <si>
    <t>1090</t>
  </si>
  <si>
    <t>SVEUKUPNO  (Razdjel 001,002,003):</t>
  </si>
  <si>
    <t>170</t>
  </si>
  <si>
    <t>Telefoni i ostala komunikacijska oprema</t>
  </si>
  <si>
    <t xml:space="preserve">Ostale intelektualne usluge </t>
  </si>
  <si>
    <t>PRIHODI POSLOVANJA</t>
  </si>
  <si>
    <t>Prihodi od prodaje proizvoda i robe te pruženih usluga i prihodi 
od donacija</t>
  </si>
  <si>
    <t>Prihodi od upravnih i administrativnih pristojbi, pristojbe po
 posebnim propisima.</t>
  </si>
  <si>
    <t>PRIHODI OD PRODAJE  NEFINANCIJSKE IMOVINE</t>
  </si>
  <si>
    <t>Prihodi od prodaje  neproizvedene dugotrajne imovine</t>
  </si>
  <si>
    <t xml:space="preserve">Prihodi od prodaje materijalne imovine-prirodnih bogatstava/ građev.zem. </t>
  </si>
  <si>
    <t>Prihodi od prodaje proizvedene dugotrajne imovine-
nefinancijske imovine</t>
  </si>
  <si>
    <t>RASHODI POSLOVANJA</t>
  </si>
  <si>
    <t>RASHODI ZA NABAVU NEFINANCIJSKE IMOVINE</t>
  </si>
  <si>
    <t>Rashodi za nabavu neproizvedene imovine</t>
  </si>
  <si>
    <t>PRIMICI OD FINANCIJSKE IMOVINE I ZADUŽIVANJA</t>
  </si>
  <si>
    <t>IZDACI ZA FINANCIJSKU IMOVINU I OTPLATE ZAJMOVA</t>
  </si>
  <si>
    <t xml:space="preserve">VLASTITI IZVORI </t>
  </si>
  <si>
    <t>Subvencije trgovačkim društvima,obrtnicima,malim i srednjim poduzetnicima izvan javnog sektora (K.P.K.-nab.opreme -kombi).</t>
  </si>
  <si>
    <t xml:space="preserve"> Funkcijska klasifikacija : 06-Usluge unaprjeđenja stanovanja i zajednice</t>
  </si>
  <si>
    <t>Subvencija trg.društvima-Kom.pod.Kistanje-nabava kamiona-smećara</t>
  </si>
  <si>
    <t xml:space="preserve">Pojačno održavanje i proširenje Šubićeve ulice </t>
  </si>
  <si>
    <t>Pomoć proračunskim korisnicima drugih proračuna</t>
  </si>
  <si>
    <t xml:space="preserve">Rashodi za materijal i energiju </t>
  </si>
  <si>
    <t>Otplata glavnice primljenih zajmova od banaka i ostalih fin.inst. izvan javnog sektora (kratkoročnog kredita)</t>
  </si>
  <si>
    <t xml:space="preserve">Geodetsko-katastarske usluge-poslovi </t>
  </si>
  <si>
    <t>Sanacija kanalizacijskog sustava (kolektora, precrpnice itd.)</t>
  </si>
  <si>
    <t>Donacije od pravnih  i fizičkih osoba izvan općeg proračuna-SNV</t>
  </si>
  <si>
    <t>Usluge čišćenja ,sakupljanja i odvoženja komunalnog otpada,održavanje groblja, javnih površina  i druge usluge- KP Kistanje.</t>
  </si>
  <si>
    <t>Usluge tekućeg i invest.održavanja javnih površina u 
funkciji  rekreacije i sporta, odmora, zabave, održavanja prigodnih manifestacija i drugo</t>
  </si>
  <si>
    <t>Sanacija asfaltnog zastora na kolovozima nerazvrstanih cesta-razno</t>
  </si>
  <si>
    <t xml:space="preserve">Dodatna ulaganja za ostalu nefinancijsku imovinu  </t>
  </si>
  <si>
    <t>Otplata glavnice primljenih kredita  i zajmova od kreditnih i ostalih  financijskih institucija</t>
  </si>
  <si>
    <t>Otplata glavnice primljenih kredita i zajmova od kreditnih i ostalih  financijskih institucija</t>
  </si>
  <si>
    <t>POTICANJE RAZVOJA TURIZMA</t>
  </si>
  <si>
    <t>Sanacija,obnova, rekonstrukcija i uređenje  poslovnih i drugih objekata u vlasništvu općine, u funkciji poticanja razvoja turizma.</t>
  </si>
  <si>
    <t>Rashodi za nabavu  proizvedene dugotrajne imovine</t>
  </si>
  <si>
    <t>133</t>
  </si>
  <si>
    <t>A100902</t>
  </si>
  <si>
    <t xml:space="preserve">Hortikulturalno uređenje okoliša </t>
  </si>
  <si>
    <t xml:space="preserve">PRIGODNO UREĐENJE NASELJA
-Božićni i novogodišnji ukrasi -
Funkcijska klasifikacija:01-Opće javne usluge </t>
  </si>
  <si>
    <t xml:space="preserve">PROSTORNO UREĐENJE-PLANIRANJE 
Izmjena i dopuna prostornog plana uređenja
Funkcijska klasifikacija:04-Ekonomski poslovi
</t>
  </si>
  <si>
    <t>A100903</t>
  </si>
  <si>
    <t xml:space="preserve">P10026
</t>
  </si>
  <si>
    <t xml:space="preserve">NAKNADA ŠTETE PRAVNIM I FIZIČKIM OSOBAMA
Funkcijska klasifikacija: 01-Opće javne usluge 
</t>
  </si>
  <si>
    <t>620</t>
  </si>
  <si>
    <t>A100802</t>
  </si>
  <si>
    <t xml:space="preserve">Izgradnja zaobilaznice (ceste) od spoja sa državnom cestom D59 do Šubićeve ulice (pripremni zemljani radovi do skladišta građevinskog materijala). </t>
  </si>
  <si>
    <t>I. OPĆI DIO</t>
  </si>
  <si>
    <t xml:space="preserve">PRIGODNE PROSLAVE OPĆINE -MANIFESTACIJE
Funkcijska klasifikacija:01-Opće javne usluge
</t>
  </si>
  <si>
    <t>Reprezentacija -općinske manifestacije i sl.</t>
  </si>
  <si>
    <t>TEKUĆA ZALIHA PRORAČUNA 
Funkcijska klasifikacija:01-Opće javne usluge</t>
  </si>
  <si>
    <t>421</t>
  </si>
  <si>
    <t>712</t>
  </si>
  <si>
    <t>ODRŽAVANJE OBJEKATA MJESNIH ODBORA 
Funkcijska klasifikacija:01-Opće javne usluge</t>
  </si>
  <si>
    <t xml:space="preserve">Plaće za zaposlene </t>
  </si>
  <si>
    <t xml:space="preserve">                                                                                                                                                                                    P r e d s j e d n i k </t>
  </si>
  <si>
    <t>II. POSEBNI DIO PRORČUNA</t>
  </si>
  <si>
    <t>Dodatna ulaganja za ostalu nefinancijsku imovinu</t>
  </si>
  <si>
    <t>Rashodi za dodatna ulaganja  na nefinancijskoj imovini</t>
  </si>
  <si>
    <t>Tekuće donacije u novcu -  vjerske zajednice 
(za popravak i održavanje vjerskih objekata).</t>
  </si>
  <si>
    <t xml:space="preserve">                                                                                                                                                                                     Marko Kardum</t>
  </si>
  <si>
    <t>Zatezne kamate</t>
  </si>
  <si>
    <t>Ostali nespom.građ.obj. - održavanje precrpnica fekalne
kanalizacije.</t>
  </si>
  <si>
    <t>Financiranje rada političkih stranaka i nezavisnih vijećnika</t>
  </si>
  <si>
    <t>Materijal i dijelovi za tekuće i investicijsko održavanje</t>
  </si>
  <si>
    <t>Ostale intelektualne usluge-priprema natječajne dokumentacije i savjetovanja u  svezi rada povjerenstva na provedbi natječaja i ostalih aktivnosti.</t>
  </si>
  <si>
    <t xml:space="preserve">DODATNA ULAGANJA NA GRAĐEVINSKIM OBJEKTIMA
-Održavanje, dogradnja i adaptacija zgrada
Funkcijska klasifikacija: 4- Ekonomski poslovi </t>
  </si>
  <si>
    <t>PROGRAM 10</t>
  </si>
  <si>
    <t>Ostali prometni objekti-biciklistička staza, šetnica i slično.</t>
  </si>
  <si>
    <t>Obnova zgrade Vijeća srpske nacionalne manjine (VSNM).</t>
  </si>
  <si>
    <t>Održavanje nerazvrstanih cesta.</t>
  </si>
  <si>
    <t xml:space="preserve">Izrada projektne prijave (aplikacije) za prijavu projekta  za sufinanciranje kroz Kohezijske fondove-sanacija odlagališta komunalnog otpada. </t>
  </si>
  <si>
    <t>Izvanredno održavanje nerazvrstane ceste do mjesnog groblja u Smrdeljima, NC 413 sa (II. Faza - prometnica i nadzor).</t>
  </si>
  <si>
    <t>Sanacija asfaltnog kolovoza nerazvrstane ceste u naselju Varivode.</t>
  </si>
  <si>
    <t>Nabava komunalne urbane opreme</t>
  </si>
  <si>
    <r>
      <rPr>
        <b/>
        <sz val="10"/>
        <rFont val="Arial"/>
        <family val="2"/>
      </rPr>
      <t>ODRŽAVANJE GROBLJA I DRUGIH JAVNIH POVRŠINA</t>
    </r>
    <r>
      <rPr>
        <b/>
        <sz val="11"/>
        <rFont val="Arial"/>
        <family val="2"/>
      </rPr>
      <t xml:space="preserve">
Funkcijska klasifikacija:05-Zaštita okoliša</t>
    </r>
  </si>
  <si>
    <t xml:space="preserve">Nabava konstruktivnih i drugih elemenata /dijelova za popravak autobusnih nadstrešnica. </t>
  </si>
  <si>
    <t>ODRŽAVANJE JAVNE RASVJETE
Funkcijska klasifikacija:06-Usluge unaprjeđenja stanovanja i zajednice</t>
  </si>
  <si>
    <t>Izmjene i dopune prostornog plana uređenja općine /Izrada detaljnih planova uređenja naselja Kistanje i Đevrske/Ocjena strateške procjene utjecaja plana na okoliš.</t>
  </si>
  <si>
    <t>Uređenje cestovnog zemljišta uz glavne prometnice u
naseljenim mjestima i prilagodba istih u funkciji pješačkih staza- fazno.</t>
  </si>
  <si>
    <t>Izgradnja uličnog priključnog voda - spajanje na vodovodnu mrežu.</t>
  </si>
  <si>
    <t xml:space="preserve">Nabava, strojevi i oprema za ostale namjene-čitaći broja podizanja tereta /kanti za smeće i drugo/. </t>
  </si>
  <si>
    <t>Nabava spremnika za sakupljanje otpada.</t>
  </si>
  <si>
    <t>Radovi na zaštiti devastiranih,urušenih i napuštenih građevinskih objekata, zatvaranje otvora na ruševinama.</t>
  </si>
  <si>
    <t>Izgradnja reciklažnog dvorišta za komunalni otpad</t>
  </si>
  <si>
    <t>KOMUNALNA INFRASTRUKTURA-IZGRADNJA 
-IZGRADNJA NERAZVRSTANIH CESTA ,PUTEVA ,ULICA I DRUGIH PROMETNIH POVRŠINA-
Funkcijska klasifikacija: 06-Usluge unaprjeđenja stanovanja i zajednice</t>
  </si>
  <si>
    <t xml:space="preserve">Kontrola, čišćenje i rekonstrukcija dotrajalih kolektora fekalne kanalizacije.
</t>
  </si>
  <si>
    <t>CIVILNA ZAŠTITA
Fukcijska klasifikacija: 03-Javni red i sigurnost</t>
  </si>
  <si>
    <t>RAZVOJ I UPRAVLJANJE SUSTAVA VODOOPSKRBE, ODVODNJE I ZAŠTITE VODA
Funkcijska klasifikacija: 05-Zaštita okoliša</t>
  </si>
  <si>
    <t>Nabava komunalnog vozila - kamiona.</t>
  </si>
  <si>
    <t>Pojačano održavanje puta za zaseok Laliće, 
od spoja sa državnom cestom D59, uz lokvu Lalića.</t>
  </si>
  <si>
    <t>Dječja igrališta - izgradnja/opremanje.</t>
  </si>
  <si>
    <t>Izvedba kanalizacijskih priključaka za obiteljske kuće.</t>
  </si>
  <si>
    <t>ZAŠTITA,OČUVANJE I UNAPREĐENJE ZDRAVLJA
Deratizacija, dezinsekcija i veterinarsko-zdravstvene usluge
Funkcijska klasifikacija:07-Zdravstvo</t>
  </si>
  <si>
    <t>Izvanredno održavanje održavanje nerazvrstanih cesta na području naselja Nunić (Draga)</t>
  </si>
  <si>
    <t>IZRADA PROJEKTNE DOKUMENTACIJE
Funkcijska klasifikacija: 06-Usluge unaprjeđenja 
stanovanja i zajednice</t>
  </si>
  <si>
    <t>Projektna dokumentacija-razno.</t>
  </si>
  <si>
    <t>Izvanredno održavanje nerazvrstanih cesta u zaseoku Gornji Ležaići (NC 454, dio NC 455 i dio NC 457).</t>
  </si>
  <si>
    <t>PROJEKTIRANJE DJEČIJEG VRTIĆA U KISTANJAMA.
Funkcijska klasifikacija: 06-Usluge unaprjeđenja stanovanja i zajednice</t>
  </si>
  <si>
    <t>Izrada idejnog i glavnog projekta Dječijeg vrtića u Kistanjama.</t>
  </si>
  <si>
    <t>Izrada idejnog rješenja i projektnog zadatka za izgradnju.</t>
  </si>
  <si>
    <t>Izrada idejnog i glavnog projekta.</t>
  </si>
  <si>
    <t>PROJEKTIRANJE DOMA ZA STARE I NEMOĆNE U BIOVIČINOM SELU.</t>
  </si>
  <si>
    <t>Tekuće donacije -HGSS</t>
  </si>
  <si>
    <t>Igraonice za djecu i mladež-predškolski odgoj-prijevoz</t>
  </si>
  <si>
    <t>Uredska oprema i namještaj za predškolu</t>
  </si>
  <si>
    <t>Tekuće donacije  - OŠ Kistanje program predškole</t>
  </si>
  <si>
    <t xml:space="preserve">Usluge tekućeg i investicijskog održavanja objekata za odmor, rekreaciju i sport </t>
  </si>
  <si>
    <t xml:space="preserve">Nabava hrane za snage zaštite i spašavanja </t>
  </si>
  <si>
    <t xml:space="preserve"> PODUZETNIČKI CENTAR-INKUBATOR KRKA KISTANJE
Funkcijska klasifikacija:04-Ekonomski poslovi</t>
  </si>
  <si>
    <t xml:space="preserve"> EKO CENTAR SA TRŽNICOM KISTANJE
Funkcijska klasifikacija:04-Ekonomski poslovi</t>
  </si>
  <si>
    <t>Opremanje prostora za prodaju domaćih 
proizvoda-kušaona</t>
  </si>
  <si>
    <t>Projektna dokumentacija - razno</t>
  </si>
  <si>
    <t>Dodatna ulaganja na građevinskim objektima (Zamjena  stolarije na Domu kulture)</t>
  </si>
  <si>
    <t xml:space="preserve">Poticaj razvoja gospodarstva/poduzetništva-subvencioniranje u poljoprivredi </t>
  </si>
  <si>
    <t>Zemljani,građevinski ,hortikulturalni i drugi radovi na uređenju okoliša oko Eko centra Kistanje (balotana i sl.).</t>
  </si>
  <si>
    <t>Pomoć iz proračuna - Ministarstvo turizma i sporta</t>
  </si>
  <si>
    <t>Ostale intelekt.usluge-izrada zahtjeva za potporu za nabavu i usluge upravljanja projektom gradnje - razno</t>
  </si>
  <si>
    <t>Usluge tek.i invest.održa energetski pregledi zgrada.</t>
  </si>
  <si>
    <t>Ostale zdravstvene i veterinarske usluge -zbrinjavanje</t>
  </si>
  <si>
    <t>Veterinarske usluge-sterilizacija</t>
  </si>
  <si>
    <t>K100802</t>
  </si>
  <si>
    <t>PROJEKT FINANCIRAN OD NACIONALNIH
I EU SREDSTAVA -PROJEKT ŽENE RADE
 Pomoć starim i nemoćnim osobama-u kući
Funkcijska klasifikacija:10-Socijalna zaštita</t>
  </si>
  <si>
    <t>Ministarstvo gospodarstva I održivog razvoja</t>
  </si>
  <si>
    <t>PROJEKTIRANJE OBNOVE STARE OSNOVNE ŠKOLE I NEKADAŠNJEG ZADRUŽNOG DOMA U IVOŠEVCIMA
Funkcijska klasifikacija:06-Usluge unaprjeđenja stanovanja i zajednice</t>
  </si>
  <si>
    <t xml:space="preserve">Dodatna ulaganja na prijevoznim sredstvima </t>
  </si>
  <si>
    <t>Nabava motornog vozili</t>
  </si>
  <si>
    <t xml:space="preserve">Kapitalne pomoći temeljem prijenosa EU sredstava-Agencija za plaćanja u poljoprivredi-EKO CENTAR SA TRŽNICOM </t>
  </si>
  <si>
    <t xml:space="preserve">Ostali nespomenuti  građ.objekti izgradnja i uređenje parkirališta i drugih javnih površina </t>
  </si>
  <si>
    <t>A100502</t>
  </si>
  <si>
    <t>A100211</t>
  </si>
  <si>
    <t>A100221</t>
  </si>
  <si>
    <t>A100231</t>
  </si>
  <si>
    <t>A100241</t>
  </si>
  <si>
    <t>A100251</t>
  </si>
  <si>
    <t>A100261</t>
  </si>
  <si>
    <t>A100263</t>
  </si>
  <si>
    <t>A100271</t>
  </si>
  <si>
    <t>Izgradnja nogostupa, pješačkih staza</t>
  </si>
  <si>
    <t>1091</t>
  </si>
  <si>
    <t>K100194</t>
  </si>
  <si>
    <t>K100195</t>
  </si>
  <si>
    <t>A100111</t>
  </si>
  <si>
    <t>P10011
T100113</t>
  </si>
  <si>
    <t>T100113</t>
  </si>
  <si>
    <t>T100121</t>
  </si>
  <si>
    <t>P10012
T100122</t>
  </si>
  <si>
    <t>T100122</t>
  </si>
  <si>
    <t>A100141</t>
  </si>
  <si>
    <t>A100142</t>
  </si>
  <si>
    <t>A100151</t>
  </si>
  <si>
    <t>K100161</t>
  </si>
  <si>
    <t>A100171</t>
  </si>
  <si>
    <t>K100181</t>
  </si>
  <si>
    <t>K100192</t>
  </si>
  <si>
    <t>K100198</t>
  </si>
  <si>
    <t>Ostale naknade građanima za sklapanje braka</t>
  </si>
  <si>
    <t xml:space="preserve">                                                             Potpore novorođenoj djeci I sklapanje braka</t>
  </si>
  <si>
    <t xml:space="preserve">Donacije OŠ Kistanje-razno </t>
  </si>
  <si>
    <t>Ostale naknade građan.i kućanst.prijevoz učenika</t>
  </si>
  <si>
    <t xml:space="preserve">Subvencije </t>
  </si>
  <si>
    <t xml:space="preserve">Električna energija </t>
  </si>
  <si>
    <t>Usluge tekućeg i invest.održa postrojenja I opreme - solarni paneli</t>
  </si>
  <si>
    <t>Usluge tekućeg i invest.održa postrojenja I opreme solarni paneli</t>
  </si>
  <si>
    <t>Uskuga promidžbe I informiranja - edukacija stanovništva</t>
  </si>
  <si>
    <r>
      <t xml:space="preserve">Izvanredno održavanje nerazvrstanih cesta na području općine Kistanje u naselju Smrdelje </t>
    </r>
    <r>
      <rPr>
        <b/>
        <sz val="11"/>
        <rFont val="Arial"/>
        <family val="2"/>
      </rPr>
      <t xml:space="preserve">II dio </t>
    </r>
    <r>
      <rPr>
        <sz val="11"/>
        <rFont val="Arial"/>
        <family val="2"/>
      </rPr>
      <t>(Tomasovići dio LC 65023, dio NC 431, dio N 417, dio NC 424).</t>
    </r>
  </si>
  <si>
    <t>Projektna dokumentacija-sunčane elektrane - zgrada</t>
  </si>
  <si>
    <t>Projektna dokumentacija-sunčane elektrane - Macure Jelenik</t>
  </si>
  <si>
    <t>Ostale tekuće donacije (ambulanti u Kistanjama, Dom zdravlja Knin)</t>
  </si>
  <si>
    <t xml:space="preserve">Uređenje igrališta za više sportova </t>
  </si>
  <si>
    <t>Donacije policijskoj postaji</t>
  </si>
  <si>
    <t xml:space="preserve">Zaštitna ograda za igralište </t>
  </si>
  <si>
    <t>2024.</t>
  </si>
  <si>
    <t>Rekonstrukcija / obnova i uređenje trga-javna površina</t>
  </si>
  <si>
    <t xml:space="preserve">Rashodi za nabavu nematerijalne proizvedene imovine </t>
  </si>
  <si>
    <t>PROJEKTIRANJE OBNOVE OPĆINSKE ZGRADE (TRG Petra Preradovića)
Funkcijska klasifikacija:06-Usluge unaprjeđenja stanovanja i zajednice</t>
  </si>
  <si>
    <t xml:space="preserve">Naknade građanima i kućanstvima na temelju osiguranja </t>
  </si>
  <si>
    <t>SOCIJALNA SKRB 
Pomoć u novcu pojedincima 
-jednokratne i druge novčane pomoći-
Funkcijska klasifikacija:10-Socijalna zaštita</t>
  </si>
  <si>
    <t>Tekuće donacije - OŠ Kistanje -</t>
  </si>
  <si>
    <t>Prihodi i rashodi po razredima ,skupinama i podskupinama utvrđuju se u Računu prihoda  i rashoda , a primici i izdaci po razredima, skupinama i podskupinama utvrđuju se u Računu zaduživanja, kako slijedi:</t>
  </si>
  <si>
    <t>Pojačano održavanje (modernizacija) puta "Put Čučevo" i njegovo proširenje do budučeg inkubatora</t>
  </si>
  <si>
    <t>Ostali nespomenuti rashodi - kulturno-zabavni programi, priredbe, koncerti</t>
  </si>
  <si>
    <t xml:space="preserve">Materijalni rashodi </t>
  </si>
  <si>
    <t>Pomoć iz proračuna - Ministarstvo znanosti I obrazovanja</t>
  </si>
  <si>
    <t>Naknade građanima i kućanstvima u novcu-umirovljenici I dr.</t>
  </si>
  <si>
    <t>Nabava i montaža fot.napons.panela za elektrif.</t>
  </si>
  <si>
    <t>OSNOVNO,SREDNJOŠKOLSKO I VISOKOŠKOLSKO OBRAZOVANJE</t>
  </si>
  <si>
    <t>Naknade za školovanje-stipendije učenici</t>
  </si>
  <si>
    <t>Naknade za studiranje-stipendije studenti</t>
  </si>
  <si>
    <t xml:space="preserve">                                                                                                                                                                                         </t>
  </si>
  <si>
    <t>OPĆINSKO VIJEĆE OPĆINE KISTANJE</t>
  </si>
  <si>
    <t>Funkcijska klasifikacija:10</t>
  </si>
  <si>
    <t>2023. EUR</t>
  </si>
  <si>
    <t xml:space="preserve">     01-Opće javne usluge</t>
  </si>
  <si>
    <t xml:space="preserve">     02-Obrana</t>
  </si>
  <si>
    <t xml:space="preserve">     03-Javni red i sigurnost</t>
  </si>
  <si>
    <t xml:space="preserve">     04-Ekonomski poslovi</t>
  </si>
  <si>
    <t xml:space="preserve">     05-Zaštita okoliša</t>
  </si>
  <si>
    <t xml:space="preserve">     06-Usluge unapređenja stanovanja i zajedn.</t>
  </si>
  <si>
    <t xml:space="preserve">     07-Zdravstvo</t>
  </si>
  <si>
    <t xml:space="preserve">     08-Rekreacija, kultura i religija</t>
  </si>
  <si>
    <t xml:space="preserve">     09-Obrazovanje</t>
  </si>
  <si>
    <t xml:space="preserve">     10-Socijalna skrb</t>
  </si>
  <si>
    <t>A.SAŽETAK RAČUNA PRIHODA I RASHODA</t>
  </si>
  <si>
    <t>B.SAŽETAK RAČUNA ZADUŽIVANJA/FINANCIRANJA</t>
  </si>
  <si>
    <t>Funkcijska klasifikacija:     01-Opće javne usluge</t>
  </si>
  <si>
    <t>Funkcijska klasifikacija:     02-Obrana</t>
  </si>
  <si>
    <t>Funkcijska klasifikacija:     03-Javni red i sigurnost</t>
  </si>
  <si>
    <t>Funkcijska klasifikacija:     04-Ekonomski poslovi</t>
  </si>
  <si>
    <t>Funkcijska klasifikacija:     05-Zaštita okoliša</t>
  </si>
  <si>
    <t>Funkcijska klasifikacija:     06-Usluge unapređenja stanovanja</t>
  </si>
  <si>
    <t>Funkcijska klasifikacija:     07-Zdravstvo</t>
  </si>
  <si>
    <t>Funkcijska klasifikacija:     08-Rekreacija, kultura i religija</t>
  </si>
  <si>
    <t>Funkcijska klasifikacija:     09-Obrazovanje</t>
  </si>
  <si>
    <t>Funkcijska klasifikacija:     10-Socijalna skrb</t>
  </si>
  <si>
    <t>Marko Kardum</t>
  </si>
  <si>
    <t>PLAN
2023 g.  
EURO</t>
  </si>
  <si>
    <t xml:space="preserve">PLAN 
2023.g.
EURO
</t>
  </si>
  <si>
    <t xml:space="preserve"> PLAN
2023.g.
   EURO</t>
  </si>
  <si>
    <t>Predsjednik Općinskog vijeća</t>
  </si>
  <si>
    <t>PLAN
2023. g. 
EURO</t>
  </si>
  <si>
    <t>Ostala nematerijalna proizvedena imovina (NABAVA VANJSKE 
POZORNICE-BINE)</t>
  </si>
  <si>
    <t xml:space="preserve">Sprave za vanjski fitnes -nabava i ugradnja </t>
  </si>
  <si>
    <t>Izvođenje radova na produžetku ulice Gospe Letničke u Novom naselju u Kistanjama. Građevinski projekt (projekt prometnice, oborinske odvodnje i vodovoda) Lokacija k.č.3998/1, k.o.Kistanje.</t>
  </si>
  <si>
    <t>Ocjena strateške procjene utjecaja plana na okoliš.</t>
  </si>
  <si>
    <t>I.IZMJENE I DOPUNE 2023.</t>
  </si>
  <si>
    <t>I.IZNJENE I DOPUNE 2023.G.</t>
  </si>
  <si>
    <t>0475</t>
  </si>
  <si>
    <t>A100500</t>
  </si>
  <si>
    <t>Energija (električna + gorivo)</t>
  </si>
  <si>
    <t>OSTVARENJE 30.06.2023</t>
  </si>
  <si>
    <t>OSTVARENJE 30.06.2023.</t>
  </si>
  <si>
    <t>Pomoći od izvanproračunskog korisnika- Hrvatska Lutrija</t>
  </si>
  <si>
    <t xml:space="preserve">OSTVARENJE 30.06.2023. </t>
  </si>
  <si>
    <t>II IZMJENE I DOPUNE 2023</t>
  </si>
  <si>
    <t>Ugradnja PVC stolarije na prodajnim lućicama</t>
  </si>
  <si>
    <t>ubačen novi red-poništen</t>
  </si>
  <si>
    <t>Pomoći proračunu -kompenzacijeke mjere-fiskalno izravnanje</t>
  </si>
  <si>
    <t>46401,68+ još dodati</t>
  </si>
  <si>
    <t>25878,91ok</t>
  </si>
  <si>
    <t>21235,65 vidjeti još</t>
  </si>
  <si>
    <t>360,00 Draginja Traživuk</t>
  </si>
  <si>
    <t>II.IZNJENE I DOPUNE 2023.G.</t>
  </si>
  <si>
    <t>II. IZMJENE I DOPUNE 2023.G.</t>
  </si>
  <si>
    <t>I. IZMJENE I DOPUNE 2023.G.</t>
  </si>
  <si>
    <t>II .IZMJENE I DOPUNE 2023.G.</t>
  </si>
  <si>
    <t xml:space="preserve">Pomoć iz proračuna-Središnji državni ured za obnovu i stamb.zbrinja.(Min.prostor.uređ.i grd.) </t>
  </si>
  <si>
    <t>II. IZMJENE I DOPUNE 2023</t>
  </si>
  <si>
    <t>OSTVARENJE 31.12.2023</t>
  </si>
  <si>
    <t>OSTVARENJE 31.12.2023.</t>
  </si>
  <si>
    <t xml:space="preserve">OSTVARENJE 31.12.2023. </t>
  </si>
  <si>
    <t>OSTVARENJE 31.12.2022</t>
  </si>
  <si>
    <t>Izvođenje radova-Ogradni zid</t>
  </si>
  <si>
    <t>Uređaji, strojevi za ostale namjene - servis I  ODRŽAVANJE, solarni paneli,klime</t>
  </si>
  <si>
    <t>Modernizacija javne rasvjete naselje Kistanje, Ivoševci i Biovčino selo</t>
  </si>
  <si>
    <t>Usluga stručnog nadzora nad modernizacijom javne rasvjete</t>
  </si>
  <si>
    <t>Kapitalne pomoći temeljem prijenosa sredstava od EU -INKUBATOR</t>
  </si>
  <si>
    <t>INDEKS 6/5</t>
  </si>
  <si>
    <t>INDEKS 6/1</t>
  </si>
  <si>
    <t xml:space="preserve">GODIŠNJI IZVJEŠTAJ O IZVRŠENJU PRORAČUNA OPĆINE KISTANJE ZA 2023.GODINU </t>
  </si>
  <si>
    <t>Godišnji izvještaj o izvršenju proračuna Općine Kistanje za 2023.godinu  glasi:</t>
  </si>
  <si>
    <t>U tekuću pričuvu Proračuna planirano je 1.327,23 eura te taj iznos nije korišten.</t>
  </si>
  <si>
    <t>INDEKS 4/1</t>
  </si>
  <si>
    <t>INDEKS 4/3</t>
  </si>
  <si>
    <t>Izdaci Godišnjeg izvještaja o izvršenju proračuna za 2023. raspoređuju se po razredima, korisnicima, namjenama u Posebnom dijelu Proračuna kako slijedi:</t>
  </si>
  <si>
    <t>Godišnji izvještaj o izvršenju proračuna Općine Kistanje za 2023.g. stupa na snagu osmi dan od dana objave u "Službenom glasniku Općine Kistanje".</t>
  </si>
  <si>
    <t>2182-16-01-24-1</t>
  </si>
  <si>
    <t>Na temelju članka 89.Zakona o proračunu ("Narodne novine" br.144/21), članka 16.stavka 3.Pravilnika o polugodišnjem i godišnjem izvještaju o izvršenju proračuna (Narodne novine 85/2023) i članka 34.Statuta Općine Kistanje ("Službeni vjesnik Šibensko-kninske  županije" br.3/21.) Općinsko vijeće Općine Kistanje na 21.sjednici,  održanoj 29.  svibnja 2024.godine, donosi</t>
  </si>
  <si>
    <t>400-01/24-01/01</t>
  </si>
  <si>
    <t xml:space="preserve"> Kistanje , 29.svibnja 2024.g.</t>
  </si>
</sst>
</file>

<file path=xl/styles.xml><?xml version="1.0" encoding="utf-8"?>
<styleSheet xmlns="http://schemas.openxmlformats.org/spreadsheetml/2006/main">
  <numFmts count="3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_-* #,##0.000\ _k_n_-;\-* #,##0.000\ _k_n_-;_-* &quot;-&quot;??\ _k_n_-;_-@_-"/>
    <numFmt numFmtId="167" formatCode="_-* #,##0.0\ _k_n_-;\-* #,##0.0\ _k_n_-;_-* &quot;-&quot;??\ _k_n_-;_-@_-"/>
    <numFmt numFmtId="168" formatCode="_-* #,##0\ _k_n_-;\-* #,##0\ _k_n_-;_-* &quot;-&quot;??\ _k_n_-;_-@_-"/>
    <numFmt numFmtId="169" formatCode="0.0"/>
    <numFmt numFmtId="170" formatCode="0.000"/>
    <numFmt numFmtId="171" formatCode="#,##0.0"/>
    <numFmt numFmtId="172" formatCode="#,##0.000"/>
    <numFmt numFmtId="173" formatCode="_-* #,##0.0000\ _k_n_-;\-* #,##0.0000\ _k_n_-;_-* &quot;-&quot;??\ _k_n_-;_-@_-"/>
    <numFmt numFmtId="174" formatCode="_-* #,##0.00000\ _k_n_-;\-* #,##0.00000\ _k_n_-;_-* &quot;-&quot;??\ _k_n_-;_-@_-"/>
    <numFmt numFmtId="175" formatCode="[$-41A]d\.\ mmmm\ yyyy\."/>
    <numFmt numFmtId="176" formatCode="&quot;Da&quot;;&quot;Da&quot;;&quot;Ne&quot;"/>
    <numFmt numFmtId="177" formatCode="&quot;True&quot;;&quot;True&quot;;&quot;False&quot;"/>
    <numFmt numFmtId="178" formatCode="&quot;Uključeno&quot;;&quot;Uključeno&quot;;&quot;Isključeno&quot;"/>
    <numFmt numFmtId="179" formatCode="[$¥€-2]\ #,##0.00_);[Red]\([$€-2]\ #,##0.00\)"/>
    <numFmt numFmtId="180" formatCode="0.000000"/>
    <numFmt numFmtId="181" formatCode="0.00000"/>
    <numFmt numFmtId="182" formatCode="0.0000"/>
    <numFmt numFmtId="183" formatCode="0.0%"/>
    <numFmt numFmtId="184" formatCode="0.000%"/>
    <numFmt numFmtId="185" formatCode="#,##0.00_ ;\-#,##0.00\ 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color indexed="52"/>
      <name val="Calibri"/>
      <family val="2"/>
    </font>
    <font>
      <u val="single"/>
      <sz val="10"/>
      <color indexed="36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8"/>
      <name val="Times New Roman"/>
      <family val="1"/>
    </font>
    <font>
      <sz val="12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b/>
      <sz val="14"/>
      <name val="Arial"/>
      <family val="2"/>
    </font>
    <font>
      <b/>
      <i/>
      <sz val="16"/>
      <name val="Arial"/>
      <family val="2"/>
    </font>
    <font>
      <sz val="11"/>
      <color indexed="22"/>
      <name val="Arial"/>
      <family val="2"/>
    </font>
    <font>
      <sz val="11"/>
      <color indexed="10"/>
      <name val="Arial"/>
      <family val="2"/>
    </font>
    <font>
      <sz val="8"/>
      <color indexed="10"/>
      <name val="Arial"/>
      <family val="2"/>
    </font>
    <font>
      <sz val="11"/>
      <color indexed="8"/>
      <name val="Arial"/>
      <family val="2"/>
    </font>
    <font>
      <b/>
      <i/>
      <sz val="12"/>
      <color indexed="10"/>
      <name val="Arial"/>
      <family val="2"/>
    </font>
    <font>
      <b/>
      <sz val="12"/>
      <color indexed="10"/>
      <name val="Arial"/>
      <family val="2"/>
    </font>
    <font>
      <b/>
      <i/>
      <sz val="12"/>
      <color indexed="8"/>
      <name val="Arial"/>
      <family val="2"/>
    </font>
    <font>
      <sz val="11"/>
      <color theme="0" tint="-0.1499900072813034"/>
      <name val="Arial"/>
      <family val="2"/>
    </font>
    <font>
      <sz val="11"/>
      <color rgb="FFFF0000"/>
      <name val="Arial"/>
      <family val="2"/>
    </font>
    <font>
      <sz val="8"/>
      <color rgb="FFFF0000"/>
      <name val="Arial"/>
      <family val="2"/>
    </font>
    <font>
      <sz val="11"/>
      <color theme="1"/>
      <name val="Arial"/>
      <family val="2"/>
    </font>
    <font>
      <b/>
      <i/>
      <sz val="12"/>
      <color rgb="FFFF0000"/>
      <name val="Arial"/>
      <family val="2"/>
    </font>
    <font>
      <b/>
      <sz val="12"/>
      <color rgb="FFFF0000"/>
      <name val="Arial"/>
      <family val="2"/>
    </font>
    <font>
      <b/>
      <i/>
      <sz val="12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9996999800205231"/>
        <bgColor indexed="64"/>
      </patternFill>
    </fill>
  </fills>
  <borders count="2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16" borderId="1" applyNumberFormat="0" applyFont="0" applyAlignment="0" applyProtection="0"/>
    <xf numFmtId="0" fontId="3" fillId="4" borderId="0" applyNumberFormat="0" applyBorder="0" applyAlignment="0" applyProtection="0"/>
    <xf numFmtId="0" fontId="4" fillId="0" borderId="0" applyNumberFormat="0" applyFill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0" borderId="0" applyNumberFormat="0" applyBorder="0" applyAlignment="0" applyProtection="0"/>
    <xf numFmtId="0" fontId="5" fillId="21" borderId="2" applyNumberFormat="0" applyAlignment="0" applyProtection="0"/>
    <xf numFmtId="0" fontId="6" fillId="21" borderId="3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9" fontId="0" fillId="0" borderId="0" applyFont="0" applyFill="0" applyBorder="0" applyAlignment="0" applyProtection="0"/>
    <xf numFmtId="0" fontId="14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3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7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2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Fill="1" applyAlignment="1">
      <alignment/>
    </xf>
    <xf numFmtId="0" fontId="21" fillId="0" borderId="10" xfId="0" applyFont="1" applyBorder="1" applyAlignment="1">
      <alignment/>
    </xf>
    <xf numFmtId="0" fontId="21" fillId="0" borderId="11" xfId="0" applyFont="1" applyBorder="1" applyAlignment="1">
      <alignment/>
    </xf>
    <xf numFmtId="0" fontId="21" fillId="0" borderId="12" xfId="0" applyFont="1" applyBorder="1" applyAlignment="1">
      <alignment/>
    </xf>
    <xf numFmtId="3" fontId="21" fillId="0" borderId="0" xfId="0" applyNumberFormat="1" applyFont="1" applyFill="1" applyAlignment="1">
      <alignment/>
    </xf>
    <xf numFmtId="0" fontId="21" fillId="0" borderId="0" xfId="0" applyFont="1" applyBorder="1" applyAlignment="1">
      <alignment/>
    </xf>
    <xf numFmtId="3" fontId="21" fillId="0" borderId="0" xfId="0" applyNumberFormat="1" applyFont="1" applyFill="1" applyBorder="1" applyAlignment="1">
      <alignment/>
    </xf>
    <xf numFmtId="0" fontId="22" fillId="7" borderId="0" xfId="0" applyFont="1" applyFill="1" applyAlignment="1" applyProtection="1">
      <alignment/>
      <protection locked="0"/>
    </xf>
    <xf numFmtId="0" fontId="22" fillId="5" borderId="0" xfId="0" applyFont="1" applyFill="1" applyAlignment="1" applyProtection="1">
      <alignment/>
      <protection locked="0"/>
    </xf>
    <xf numFmtId="0" fontId="22" fillId="24" borderId="0" xfId="0" applyFont="1" applyFill="1" applyBorder="1" applyAlignment="1" applyProtection="1">
      <alignment/>
      <protection locked="0"/>
    </xf>
    <xf numFmtId="0" fontId="22" fillId="0" borderId="0" xfId="0" applyFont="1" applyAlignment="1">
      <alignment/>
    </xf>
    <xf numFmtId="3" fontId="0" fillId="0" borderId="0" xfId="0" applyNumberFormat="1" applyFont="1" applyFill="1" applyAlignment="1">
      <alignment/>
    </xf>
    <xf numFmtId="0" fontId="0" fillId="0" borderId="0" xfId="0" applyFont="1" applyAlignment="1" applyProtection="1">
      <alignment/>
      <protection locked="0"/>
    </xf>
    <xf numFmtId="0" fontId="0" fillId="24" borderId="0" xfId="0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24" borderId="0" xfId="0" applyFont="1" applyFill="1" applyBorder="1" applyAlignment="1" applyProtection="1">
      <alignment/>
      <protection locked="0"/>
    </xf>
    <xf numFmtId="0" fontId="0" fillId="7" borderId="0" xfId="0" applyFont="1" applyFill="1" applyAlignment="1" applyProtection="1">
      <alignment/>
      <protection locked="0"/>
    </xf>
    <xf numFmtId="0" fontId="0" fillId="5" borderId="0" xfId="0" applyFont="1" applyFill="1" applyAlignment="1" applyProtection="1">
      <alignment/>
      <protection locked="0"/>
    </xf>
    <xf numFmtId="0" fontId="22" fillId="24" borderId="10" xfId="0" applyFont="1" applyFill="1" applyBorder="1" applyAlignment="1" applyProtection="1">
      <alignment/>
      <protection locked="0"/>
    </xf>
    <xf numFmtId="0" fontId="0" fillId="24" borderId="10" xfId="0" applyFont="1" applyFill="1" applyBorder="1" applyAlignment="1" applyProtection="1">
      <alignment/>
      <protection locked="0"/>
    </xf>
    <xf numFmtId="0" fontId="0" fillId="24" borderId="13" xfId="0" applyFont="1" applyFill="1" applyBorder="1" applyAlignment="1" applyProtection="1">
      <alignment/>
      <protection locked="0"/>
    </xf>
    <xf numFmtId="0" fontId="22" fillId="24" borderId="13" xfId="0" applyFont="1" applyFill="1" applyBorder="1" applyAlignment="1" applyProtection="1">
      <alignment/>
      <protection locked="0"/>
    </xf>
    <xf numFmtId="0" fontId="0" fillId="24" borderId="14" xfId="0" applyFont="1" applyFill="1" applyBorder="1" applyAlignment="1" applyProtection="1">
      <alignment/>
      <protection locked="0"/>
    </xf>
    <xf numFmtId="0" fontId="22" fillId="7" borderId="0" xfId="0" applyFont="1" applyFill="1" applyBorder="1" applyAlignment="1" applyProtection="1">
      <alignment/>
      <protection locked="0"/>
    </xf>
    <xf numFmtId="0" fontId="22" fillId="24" borderId="0" xfId="0" applyFont="1" applyFill="1" applyAlignment="1" applyProtection="1">
      <alignment/>
      <protection locked="0"/>
    </xf>
    <xf numFmtId="0" fontId="22" fillId="0" borderId="1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22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25" borderId="0" xfId="0" applyFont="1" applyFill="1" applyAlignment="1" applyProtection="1">
      <alignment/>
      <protection locked="0"/>
    </xf>
    <xf numFmtId="0" fontId="22" fillId="25" borderId="0" xfId="0" applyFont="1" applyFill="1" applyBorder="1" applyAlignment="1" applyProtection="1">
      <alignment wrapText="1"/>
      <protection locked="0"/>
    </xf>
    <xf numFmtId="0" fontId="22" fillId="26" borderId="10" xfId="0" applyFont="1" applyFill="1" applyBorder="1" applyAlignment="1" applyProtection="1">
      <alignment/>
      <protection locked="0"/>
    </xf>
    <xf numFmtId="0" fontId="0" fillId="26" borderId="15" xfId="0" applyFont="1" applyFill="1" applyBorder="1" applyAlignment="1" applyProtection="1">
      <alignment/>
      <protection locked="0"/>
    </xf>
    <xf numFmtId="0" fontId="0" fillId="26" borderId="0" xfId="0" applyFont="1" applyFill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13" xfId="0" applyFont="1" applyBorder="1" applyAlignment="1" applyProtection="1">
      <alignment/>
      <protection locked="0"/>
    </xf>
    <xf numFmtId="0" fontId="22" fillId="0" borderId="13" xfId="0" applyFont="1" applyBorder="1" applyAlignment="1" applyProtection="1">
      <alignment/>
      <protection locked="0"/>
    </xf>
    <xf numFmtId="0" fontId="22" fillId="25" borderId="0" xfId="0" applyFont="1" applyFill="1" applyBorder="1" applyAlignment="1" applyProtection="1">
      <alignment/>
      <protection locked="0"/>
    </xf>
    <xf numFmtId="0" fontId="0" fillId="26" borderId="10" xfId="0" applyFont="1" applyFill="1" applyBorder="1" applyAlignment="1" applyProtection="1">
      <alignment/>
      <protection locked="0"/>
    </xf>
    <xf numFmtId="0" fontId="27" fillId="0" borderId="0" xfId="0" applyFont="1" applyAlignment="1" applyProtection="1">
      <alignment/>
      <protection locked="0"/>
    </xf>
    <xf numFmtId="0" fontId="27" fillId="0" borderId="0" xfId="0" applyFont="1" applyAlignment="1">
      <alignment/>
    </xf>
    <xf numFmtId="0" fontId="27" fillId="24" borderId="0" xfId="0" applyFont="1" applyFill="1" applyBorder="1" applyAlignment="1" applyProtection="1">
      <alignment/>
      <protection locked="0"/>
    </xf>
    <xf numFmtId="0" fontId="27" fillId="0" borderId="0" xfId="0" applyFont="1" applyBorder="1" applyAlignment="1">
      <alignment/>
    </xf>
    <xf numFmtId="0" fontId="27" fillId="7" borderId="0" xfId="0" applyFont="1" applyFill="1" applyAlignment="1" applyProtection="1">
      <alignment/>
      <protection locked="0"/>
    </xf>
    <xf numFmtId="0" fontId="27" fillId="5" borderId="0" xfId="0" applyFont="1" applyFill="1" applyAlignment="1" applyProtection="1">
      <alignment/>
      <protection locked="0"/>
    </xf>
    <xf numFmtId="0" fontId="27" fillId="24" borderId="10" xfId="0" applyFont="1" applyFill="1" applyBorder="1" applyAlignment="1" applyProtection="1">
      <alignment/>
      <protection locked="0"/>
    </xf>
    <xf numFmtId="0" fontId="27" fillId="24" borderId="11" xfId="0" applyFont="1" applyFill="1" applyBorder="1" applyAlignment="1" applyProtection="1">
      <alignment horizontal="left"/>
      <protection locked="0"/>
    </xf>
    <xf numFmtId="0" fontId="27" fillId="24" borderId="16" xfId="0" applyFont="1" applyFill="1" applyBorder="1" applyAlignment="1" applyProtection="1">
      <alignment/>
      <protection locked="0"/>
    </xf>
    <xf numFmtId="0" fontId="27" fillId="24" borderId="14" xfId="0" applyFont="1" applyFill="1" applyBorder="1" applyAlignment="1" applyProtection="1">
      <alignment/>
      <protection locked="0"/>
    </xf>
    <xf numFmtId="0" fontId="28" fillId="24" borderId="0" xfId="0" applyFont="1" applyFill="1" applyBorder="1" applyAlignment="1" applyProtection="1">
      <alignment/>
      <protection locked="0"/>
    </xf>
    <xf numFmtId="0" fontId="28" fillId="24" borderId="0" xfId="0" applyFont="1" applyFill="1" applyBorder="1" applyAlignment="1" applyProtection="1">
      <alignment horizontal="left"/>
      <protection locked="0"/>
    </xf>
    <xf numFmtId="0" fontId="27" fillId="24" borderId="0" xfId="0" applyFont="1" applyFill="1" applyBorder="1" applyAlignment="1" applyProtection="1">
      <alignment horizontal="left"/>
      <protection locked="0"/>
    </xf>
    <xf numFmtId="0" fontId="28" fillId="0" borderId="10" xfId="0" applyFont="1" applyBorder="1" applyAlignment="1" applyProtection="1">
      <alignment/>
      <protection locked="0"/>
    </xf>
    <xf numFmtId="0" fontId="27" fillId="0" borderId="10" xfId="0" applyFont="1" applyBorder="1" applyAlignment="1" applyProtection="1">
      <alignment/>
      <protection locked="0"/>
    </xf>
    <xf numFmtId="0" fontId="28" fillId="0" borderId="0" xfId="0" applyFont="1" applyFill="1" applyBorder="1" applyAlignment="1" applyProtection="1">
      <alignment/>
      <protection locked="0"/>
    </xf>
    <xf numFmtId="0" fontId="28" fillId="0" borderId="0" xfId="0" applyFont="1" applyFill="1" applyBorder="1" applyAlignment="1" applyProtection="1">
      <alignment horizontal="left"/>
      <protection locked="0"/>
    </xf>
    <xf numFmtId="0" fontId="27" fillId="0" borderId="0" xfId="0" applyFont="1" applyFill="1" applyAlignment="1">
      <alignment/>
    </xf>
    <xf numFmtId="0" fontId="27" fillId="0" borderId="17" xfId="0" applyFont="1" applyBorder="1" applyAlignment="1" applyProtection="1">
      <alignment/>
      <protection locked="0"/>
    </xf>
    <xf numFmtId="0" fontId="27" fillId="0" borderId="0" xfId="0" applyFont="1" applyBorder="1" applyAlignment="1" applyProtection="1">
      <alignment/>
      <protection locked="0"/>
    </xf>
    <xf numFmtId="0" fontId="28" fillId="0" borderId="16" xfId="0" applyFont="1" applyBorder="1" applyAlignment="1" applyProtection="1">
      <alignment/>
      <protection locked="0"/>
    </xf>
    <xf numFmtId="0" fontId="28" fillId="0" borderId="0" xfId="0" applyFont="1" applyAlignment="1">
      <alignment/>
    </xf>
    <xf numFmtId="0" fontId="0" fillId="26" borderId="0" xfId="0" applyFont="1" applyFill="1" applyBorder="1" applyAlignment="1" applyProtection="1">
      <alignment/>
      <protection locked="0"/>
    </xf>
    <xf numFmtId="0" fontId="27" fillId="0" borderId="0" xfId="0" applyFont="1" applyAlignment="1">
      <alignment horizontal="center"/>
    </xf>
    <xf numFmtId="0" fontId="0" fillId="26" borderId="0" xfId="0" applyFill="1" applyAlignment="1">
      <alignment/>
    </xf>
    <xf numFmtId="0" fontId="21" fillId="26" borderId="0" xfId="0" applyFont="1" applyFill="1" applyAlignment="1">
      <alignment/>
    </xf>
    <xf numFmtId="0" fontId="0" fillId="0" borderId="0" xfId="0" applyFont="1" applyAlignment="1">
      <alignment horizontal="left"/>
    </xf>
    <xf numFmtId="0" fontId="21" fillId="0" borderId="11" xfId="0" applyFont="1" applyBorder="1" applyAlignment="1">
      <alignment horizontal="left"/>
    </xf>
    <xf numFmtId="0" fontId="21" fillId="0" borderId="12" xfId="0" applyFont="1" applyBorder="1" applyAlignment="1">
      <alignment horizontal="left"/>
    </xf>
    <xf numFmtId="49" fontId="0" fillId="26" borderId="0" xfId="0" applyNumberFormat="1" applyFont="1" applyFill="1" applyAlignment="1" applyProtection="1">
      <alignment horizontal="right"/>
      <protection locked="0"/>
    </xf>
    <xf numFmtId="0" fontId="21" fillId="0" borderId="0" xfId="0" applyFont="1" applyAlignment="1">
      <alignment horizontal="center"/>
    </xf>
    <xf numFmtId="0" fontId="27" fillId="26" borderId="0" xfId="0" applyFont="1" applyFill="1" applyAlignment="1" applyProtection="1">
      <alignment/>
      <protection locked="0"/>
    </xf>
    <xf numFmtId="0" fontId="27" fillId="26" borderId="0" xfId="0" applyFont="1" applyFill="1" applyAlignment="1">
      <alignment/>
    </xf>
    <xf numFmtId="0" fontId="27" fillId="26" borderId="0" xfId="0" applyFont="1" applyFill="1" applyBorder="1" applyAlignment="1" applyProtection="1">
      <alignment horizontal="left" wrapText="1"/>
      <protection locked="0"/>
    </xf>
    <xf numFmtId="0" fontId="27" fillId="26" borderId="0" xfId="0" applyFont="1" applyFill="1" applyBorder="1" applyAlignment="1" applyProtection="1">
      <alignment/>
      <protection locked="0"/>
    </xf>
    <xf numFmtId="0" fontId="27" fillId="26" borderId="0" xfId="0" applyFont="1" applyFill="1" applyBorder="1" applyAlignment="1">
      <alignment/>
    </xf>
    <xf numFmtId="0" fontId="0" fillId="25" borderId="0" xfId="0" applyFont="1" applyFill="1" applyBorder="1" applyAlignment="1" applyProtection="1">
      <alignment/>
      <protection locked="0"/>
    </xf>
    <xf numFmtId="0" fontId="21" fillId="0" borderId="0" xfId="0" applyFont="1" applyBorder="1" applyAlignment="1">
      <alignment horizontal="left"/>
    </xf>
    <xf numFmtId="0" fontId="21" fillId="25" borderId="0" xfId="0" applyFont="1" applyFill="1" applyAlignment="1">
      <alignment/>
    </xf>
    <xf numFmtId="0" fontId="22" fillId="26" borderId="0" xfId="0" applyFont="1" applyFill="1" applyAlignment="1" applyProtection="1">
      <alignment/>
      <protection locked="0"/>
    </xf>
    <xf numFmtId="0" fontId="21" fillId="0" borderId="0" xfId="0" applyFont="1" applyFill="1" applyBorder="1" applyAlignment="1">
      <alignment horizontal="center" wrapText="1"/>
    </xf>
    <xf numFmtId="0" fontId="27" fillId="27" borderId="0" xfId="0" applyFont="1" applyFill="1" applyAlignment="1">
      <alignment/>
    </xf>
    <xf numFmtId="0" fontId="27" fillId="27" borderId="0" xfId="0" applyFont="1" applyFill="1" applyBorder="1" applyAlignment="1" applyProtection="1">
      <alignment/>
      <protection locked="0"/>
    </xf>
    <xf numFmtId="0" fontId="27" fillId="27" borderId="18" xfId="0" applyFont="1" applyFill="1" applyBorder="1" applyAlignment="1" applyProtection="1">
      <alignment/>
      <protection locked="0"/>
    </xf>
    <xf numFmtId="0" fontId="27" fillId="26" borderId="11" xfId="0" applyFont="1" applyFill="1" applyBorder="1" applyAlignment="1" applyProtection="1">
      <alignment/>
      <protection locked="0"/>
    </xf>
    <xf numFmtId="0" fontId="27" fillId="26" borderId="10" xfId="0" applyFont="1" applyFill="1" applyBorder="1" applyAlignment="1" applyProtection="1">
      <alignment/>
      <protection locked="0"/>
    </xf>
    <xf numFmtId="0" fontId="27" fillId="26" borderId="11" xfId="0" applyFont="1" applyFill="1" applyBorder="1" applyAlignment="1" applyProtection="1">
      <alignment horizontal="left"/>
      <protection locked="0"/>
    </xf>
    <xf numFmtId="0" fontId="0" fillId="26" borderId="13" xfId="0" applyFont="1" applyFill="1" applyBorder="1" applyAlignment="1" applyProtection="1">
      <alignment/>
      <protection locked="0"/>
    </xf>
    <xf numFmtId="0" fontId="27" fillId="26" borderId="13" xfId="0" applyFont="1" applyFill="1" applyBorder="1" applyAlignment="1" applyProtection="1">
      <alignment/>
      <protection locked="0"/>
    </xf>
    <xf numFmtId="0" fontId="27" fillId="26" borderId="16" xfId="0" applyFont="1" applyFill="1" applyBorder="1" applyAlignment="1" applyProtection="1">
      <alignment/>
      <protection locked="0"/>
    </xf>
    <xf numFmtId="0" fontId="27" fillId="26" borderId="10" xfId="0" applyFont="1" applyFill="1" applyBorder="1" applyAlignment="1">
      <alignment/>
    </xf>
    <xf numFmtId="0" fontId="28" fillId="26" borderId="0" xfId="0" applyFont="1" applyFill="1" applyAlignment="1">
      <alignment/>
    </xf>
    <xf numFmtId="49" fontId="0" fillId="26" borderId="0" xfId="0" applyNumberFormat="1" applyFont="1" applyFill="1" applyAlignment="1" applyProtection="1">
      <alignment/>
      <protection locked="0"/>
    </xf>
    <xf numFmtId="0" fontId="27" fillId="26" borderId="15" xfId="0" applyFont="1" applyFill="1" applyBorder="1" applyAlignment="1" applyProtection="1">
      <alignment/>
      <protection locked="0"/>
    </xf>
    <xf numFmtId="0" fontId="0" fillId="26" borderId="10" xfId="51" applyFont="1" applyFill="1" applyBorder="1" applyAlignment="1" applyProtection="1">
      <alignment horizontal="right" wrapText="1"/>
      <protection locked="0"/>
    </xf>
    <xf numFmtId="0" fontId="27" fillId="27" borderId="19" xfId="0" applyFont="1" applyFill="1" applyBorder="1" applyAlignment="1" applyProtection="1">
      <alignment/>
      <protection locked="0"/>
    </xf>
    <xf numFmtId="0" fontId="28" fillId="0" borderId="0" xfId="0" applyFont="1" applyBorder="1" applyAlignment="1" applyProtection="1">
      <alignment/>
      <protection locked="0"/>
    </xf>
    <xf numFmtId="0" fontId="28" fillId="0" borderId="19" xfId="0" applyFont="1" applyBorder="1" applyAlignment="1" applyProtection="1">
      <alignment/>
      <protection locked="0"/>
    </xf>
    <xf numFmtId="0" fontId="27" fillId="0" borderId="18" xfId="0" applyFont="1" applyBorder="1" applyAlignment="1" applyProtection="1">
      <alignment/>
      <protection locked="0"/>
    </xf>
    <xf numFmtId="0" fontId="27" fillId="0" borderId="20" xfId="0" applyFont="1" applyBorder="1" applyAlignment="1" applyProtection="1">
      <alignment/>
      <protection locked="0"/>
    </xf>
    <xf numFmtId="0" fontId="27" fillId="0" borderId="21" xfId="0" applyFont="1" applyBorder="1" applyAlignment="1" applyProtection="1">
      <alignment/>
      <protection locked="0"/>
    </xf>
    <xf numFmtId="0" fontId="0" fillId="26" borderId="12" xfId="0" applyFont="1" applyFill="1" applyBorder="1" applyAlignment="1" applyProtection="1">
      <alignment/>
      <protection locked="0"/>
    </xf>
    <xf numFmtId="0" fontId="21" fillId="26" borderId="10" xfId="0" applyFont="1" applyFill="1" applyBorder="1" applyAlignment="1">
      <alignment/>
    </xf>
    <xf numFmtId="0" fontId="21" fillId="0" borderId="10" xfId="0" applyFont="1" applyBorder="1" applyAlignment="1">
      <alignment vertical="top"/>
    </xf>
    <xf numFmtId="0" fontId="30" fillId="0" borderId="10" xfId="0" applyFont="1" applyBorder="1" applyAlignment="1">
      <alignment/>
    </xf>
    <xf numFmtId="0" fontId="0" fillId="26" borderId="0" xfId="0" applyFont="1" applyFill="1" applyAlignment="1">
      <alignment/>
    </xf>
    <xf numFmtId="0" fontId="22" fillId="28" borderId="10" xfId="0" applyFont="1" applyFill="1" applyBorder="1" applyAlignment="1" applyProtection="1">
      <alignment/>
      <protection locked="0"/>
    </xf>
    <xf numFmtId="0" fontId="22" fillId="29" borderId="10" xfId="0" applyFont="1" applyFill="1" applyBorder="1" applyAlignment="1" applyProtection="1">
      <alignment/>
      <protection locked="0"/>
    </xf>
    <xf numFmtId="0" fontId="27" fillId="0" borderId="16" xfId="0" applyFont="1" applyBorder="1" applyAlignment="1" applyProtection="1">
      <alignment horizontal="center" vertical="center"/>
      <protection locked="0"/>
    </xf>
    <xf numFmtId="0" fontId="27" fillId="0" borderId="22" xfId="0" applyFont="1" applyBorder="1" applyAlignment="1" applyProtection="1">
      <alignment horizontal="center" vertical="center"/>
      <protection locked="0"/>
    </xf>
    <xf numFmtId="0" fontId="27" fillId="0" borderId="23" xfId="0" applyFont="1" applyBorder="1" applyAlignment="1" applyProtection="1">
      <alignment horizontal="center" vertical="center"/>
      <protection locked="0"/>
    </xf>
    <xf numFmtId="3" fontId="0" fillId="30" borderId="24" xfId="0" applyNumberFormat="1" applyFont="1" applyFill="1" applyBorder="1" applyAlignment="1" applyProtection="1">
      <alignment horizontal="center" vertical="center"/>
      <protection locked="0"/>
    </xf>
    <xf numFmtId="0" fontId="27" fillId="30" borderId="12" xfId="0" applyFont="1" applyFill="1" applyBorder="1" applyAlignment="1" applyProtection="1">
      <alignment horizontal="center" vertical="center"/>
      <protection locked="0"/>
    </xf>
    <xf numFmtId="0" fontId="27" fillId="0" borderId="0" xfId="0" applyFont="1" applyAlignment="1">
      <alignment horizontal="center" vertical="center"/>
    </xf>
    <xf numFmtId="0" fontId="27" fillId="0" borderId="0" xfId="0" applyFont="1" applyAlignment="1" applyProtection="1">
      <alignment horizontal="left"/>
      <protection locked="0"/>
    </xf>
    <xf numFmtId="0" fontId="27" fillId="0" borderId="0" xfId="0" applyFont="1" applyAlignment="1">
      <alignment horizontal="left"/>
    </xf>
    <xf numFmtId="0" fontId="21" fillId="31" borderId="10" xfId="0" applyFont="1" applyFill="1" applyBorder="1" applyAlignment="1">
      <alignment/>
    </xf>
    <xf numFmtId="3" fontId="0" fillId="31" borderId="10" xfId="0" applyNumberFormat="1" applyFont="1" applyFill="1" applyBorder="1" applyAlignment="1">
      <alignment/>
    </xf>
    <xf numFmtId="3" fontId="21" fillId="31" borderId="10" xfId="0" applyNumberFormat="1" applyFont="1" applyFill="1" applyBorder="1" applyAlignment="1">
      <alignment/>
    </xf>
    <xf numFmtId="0" fontId="22" fillId="32" borderId="10" xfId="0" applyFont="1" applyFill="1" applyBorder="1" applyAlignment="1" applyProtection="1">
      <alignment/>
      <protection locked="0"/>
    </xf>
    <xf numFmtId="0" fontId="22" fillId="33" borderId="10" xfId="0" applyFont="1" applyFill="1" applyBorder="1" applyAlignment="1" applyProtection="1">
      <alignment/>
      <protection locked="0"/>
    </xf>
    <xf numFmtId="0" fontId="27" fillId="33" borderId="0" xfId="0" applyFont="1" applyFill="1" applyAlignment="1">
      <alignment/>
    </xf>
    <xf numFmtId="0" fontId="0" fillId="31" borderId="0" xfId="0" applyFont="1" applyFill="1" applyAlignment="1" applyProtection="1">
      <alignment/>
      <protection locked="0"/>
    </xf>
    <xf numFmtId="0" fontId="22" fillId="31" borderId="10" xfId="0" applyFont="1" applyFill="1" applyBorder="1" applyAlignment="1" applyProtection="1">
      <alignment/>
      <protection locked="0"/>
    </xf>
    <xf numFmtId="0" fontId="28" fillId="31" borderId="10" xfId="0" applyFont="1" applyFill="1" applyBorder="1" applyAlignment="1" applyProtection="1">
      <alignment/>
      <protection locked="0"/>
    </xf>
    <xf numFmtId="0" fontId="27" fillId="31" borderId="0" xfId="0" applyFont="1" applyFill="1" applyAlignment="1">
      <alignment/>
    </xf>
    <xf numFmtId="49" fontId="0" fillId="31" borderId="0" xfId="0" applyNumberFormat="1" applyFont="1" applyFill="1" applyAlignment="1" applyProtection="1">
      <alignment/>
      <protection locked="0"/>
    </xf>
    <xf numFmtId="0" fontId="24" fillId="31" borderId="10" xfId="52" applyFont="1" applyFill="1" applyBorder="1" applyAlignment="1" applyProtection="1">
      <alignment horizontal="center" wrapText="1"/>
      <protection locked="0"/>
    </xf>
    <xf numFmtId="0" fontId="27" fillId="34" borderId="0" xfId="0" applyFont="1" applyFill="1" applyAlignment="1">
      <alignment/>
    </xf>
    <xf numFmtId="0" fontId="22" fillId="31" borderId="15" xfId="0" applyFont="1" applyFill="1" applyBorder="1" applyAlignment="1" applyProtection="1">
      <alignment/>
      <protection locked="0"/>
    </xf>
    <xf numFmtId="0" fontId="28" fillId="31" borderId="15" xfId="0" applyFont="1" applyFill="1" applyBorder="1" applyAlignment="1" applyProtection="1">
      <alignment/>
      <protection locked="0"/>
    </xf>
    <xf numFmtId="0" fontId="27" fillId="31" borderId="10" xfId="0" applyFont="1" applyFill="1" applyBorder="1" applyAlignment="1" applyProtection="1">
      <alignment/>
      <protection locked="0"/>
    </xf>
    <xf numFmtId="3" fontId="0" fillId="31" borderId="0" xfId="0" applyNumberFormat="1" applyFont="1" applyFill="1" applyAlignment="1" applyProtection="1">
      <alignment/>
      <protection locked="0"/>
    </xf>
    <xf numFmtId="0" fontId="22" fillId="33" borderId="0" xfId="0" applyFont="1" applyFill="1" applyAlignment="1" applyProtection="1">
      <alignment/>
      <protection locked="0"/>
    </xf>
    <xf numFmtId="0" fontId="0" fillId="31" borderId="25" xfId="0" applyFont="1" applyFill="1" applyBorder="1" applyAlignment="1" applyProtection="1">
      <alignment/>
      <protection locked="0"/>
    </xf>
    <xf numFmtId="0" fontId="22" fillId="31" borderId="25" xfId="0" applyFont="1" applyFill="1" applyBorder="1" applyAlignment="1" applyProtection="1">
      <alignment/>
      <protection locked="0"/>
    </xf>
    <xf numFmtId="0" fontId="28" fillId="31" borderId="25" xfId="0" applyFont="1" applyFill="1" applyBorder="1" applyAlignment="1" applyProtection="1">
      <alignment/>
      <protection locked="0"/>
    </xf>
    <xf numFmtId="0" fontId="0" fillId="31" borderId="10" xfId="0" applyFont="1" applyFill="1" applyBorder="1" applyAlignment="1" applyProtection="1">
      <alignment/>
      <protection locked="0"/>
    </xf>
    <xf numFmtId="3" fontId="21" fillId="26" borderId="10" xfId="0" applyNumberFormat="1" applyFont="1" applyFill="1" applyBorder="1" applyAlignment="1">
      <alignment/>
    </xf>
    <xf numFmtId="0" fontId="21" fillId="26" borderId="0" xfId="0" applyFont="1" applyFill="1" applyBorder="1" applyAlignment="1">
      <alignment/>
    </xf>
    <xf numFmtId="0" fontId="0" fillId="31" borderId="0" xfId="0" applyFont="1" applyFill="1" applyAlignment="1">
      <alignment/>
    </xf>
    <xf numFmtId="0" fontId="21" fillId="31" borderId="0" xfId="0" applyFont="1" applyFill="1" applyAlignment="1">
      <alignment/>
    </xf>
    <xf numFmtId="0" fontId="0" fillId="31" borderId="0" xfId="0" applyFill="1" applyAlignment="1">
      <alignment/>
    </xf>
    <xf numFmtId="0" fontId="27" fillId="26" borderId="22" xfId="0" applyFont="1" applyFill="1" applyBorder="1" applyAlignment="1" applyProtection="1">
      <alignment/>
      <protection locked="0"/>
    </xf>
    <xf numFmtId="0" fontId="27" fillId="26" borderId="21" xfId="0" applyFont="1" applyFill="1" applyBorder="1" applyAlignment="1" applyProtection="1">
      <alignment/>
      <protection locked="0"/>
    </xf>
    <xf numFmtId="0" fontId="31" fillId="0" borderId="10" xfId="0" applyFont="1" applyBorder="1" applyAlignment="1">
      <alignment/>
    </xf>
    <xf numFmtId="0" fontId="0" fillId="25" borderId="0" xfId="0" applyFill="1" applyAlignment="1">
      <alignment/>
    </xf>
    <xf numFmtId="0" fontId="0" fillId="25" borderId="0" xfId="0" applyFont="1" applyFill="1" applyBorder="1" applyAlignment="1" applyProtection="1">
      <alignment vertical="top" wrapText="1"/>
      <protection locked="0"/>
    </xf>
    <xf numFmtId="0" fontId="31" fillId="26" borderId="10" xfId="0" applyFont="1" applyFill="1" applyBorder="1" applyAlignment="1">
      <alignment/>
    </xf>
    <xf numFmtId="0" fontId="27" fillId="26" borderId="20" xfId="0" applyFont="1" applyFill="1" applyBorder="1" applyAlignment="1" applyProtection="1">
      <alignment/>
      <protection locked="0"/>
    </xf>
    <xf numFmtId="0" fontId="31" fillId="31" borderId="10" xfId="0" applyFont="1" applyFill="1" applyBorder="1" applyAlignment="1">
      <alignment/>
    </xf>
    <xf numFmtId="0" fontId="22" fillId="31" borderId="0" xfId="0" applyFont="1" applyFill="1" applyAlignment="1">
      <alignment/>
    </xf>
    <xf numFmtId="0" fontId="31" fillId="31" borderId="0" xfId="0" applyFont="1" applyFill="1" applyAlignment="1">
      <alignment/>
    </xf>
    <xf numFmtId="0" fontId="31" fillId="31" borderId="11" xfId="0" applyFont="1" applyFill="1" applyBorder="1" applyAlignment="1">
      <alignment/>
    </xf>
    <xf numFmtId="0" fontId="31" fillId="31" borderId="12" xfId="0" applyFont="1" applyFill="1" applyBorder="1" applyAlignment="1">
      <alignment/>
    </xf>
    <xf numFmtId="0" fontId="21" fillId="26" borderId="11" xfId="0" applyFont="1" applyFill="1" applyBorder="1" applyAlignment="1">
      <alignment horizontal="left"/>
    </xf>
    <xf numFmtId="0" fontId="21" fillId="26" borderId="12" xfId="0" applyFont="1" applyFill="1" applyBorder="1" applyAlignment="1">
      <alignment horizontal="left"/>
    </xf>
    <xf numFmtId="0" fontId="30" fillId="0" borderId="0" xfId="0" applyFont="1" applyAlignment="1">
      <alignment/>
    </xf>
    <xf numFmtId="0" fontId="21" fillId="26" borderId="11" xfId="0" applyFont="1" applyFill="1" applyBorder="1" applyAlignment="1">
      <alignment/>
    </xf>
    <xf numFmtId="0" fontId="21" fillId="26" borderId="12" xfId="0" applyFont="1" applyFill="1" applyBorder="1" applyAlignment="1">
      <alignment/>
    </xf>
    <xf numFmtId="0" fontId="31" fillId="0" borderId="0" xfId="0" applyFont="1" applyAlignment="1">
      <alignment/>
    </xf>
    <xf numFmtId="0" fontId="0" fillId="26" borderId="10" xfId="0" applyFont="1" applyFill="1" applyBorder="1" applyAlignment="1" applyProtection="1">
      <alignment vertical="top"/>
      <protection locked="0"/>
    </xf>
    <xf numFmtId="0" fontId="22" fillId="26" borderId="0" xfId="0" applyFont="1" applyFill="1" applyBorder="1" applyAlignment="1" applyProtection="1">
      <alignment/>
      <protection locked="0"/>
    </xf>
    <xf numFmtId="0" fontId="31" fillId="0" borderId="11" xfId="0" applyFont="1" applyBorder="1" applyAlignment="1">
      <alignment/>
    </xf>
    <xf numFmtId="0" fontId="31" fillId="0" borderId="12" xfId="0" applyFont="1" applyBorder="1" applyAlignment="1">
      <alignment/>
    </xf>
    <xf numFmtId="0" fontId="23" fillId="26" borderId="0" xfId="0" applyFont="1" applyFill="1" applyAlignment="1">
      <alignment horizontal="center"/>
    </xf>
    <xf numFmtId="0" fontId="25" fillId="26" borderId="0" xfId="0" applyFont="1" applyFill="1" applyAlignment="1">
      <alignment horizontal="center"/>
    </xf>
    <xf numFmtId="0" fontId="0" fillId="26" borderId="0" xfId="0" applyFont="1" applyFill="1" applyBorder="1" applyAlignment="1">
      <alignment/>
    </xf>
    <xf numFmtId="0" fontId="31" fillId="0" borderId="15" xfId="0" applyFont="1" applyFill="1" applyBorder="1" applyAlignment="1">
      <alignment/>
    </xf>
    <xf numFmtId="0" fontId="31" fillId="0" borderId="20" xfId="0" applyFont="1" applyFill="1" applyBorder="1" applyAlignment="1">
      <alignment/>
    </xf>
    <xf numFmtId="0" fontId="21" fillId="0" borderId="17" xfId="0" applyFont="1" applyFill="1" applyBorder="1" applyAlignment="1">
      <alignment/>
    </xf>
    <xf numFmtId="0" fontId="0" fillId="26" borderId="0" xfId="0" applyFill="1" applyBorder="1" applyAlignment="1">
      <alignment/>
    </xf>
    <xf numFmtId="0" fontId="0" fillId="26" borderId="0" xfId="0" applyFont="1" applyFill="1" applyAlignment="1">
      <alignment horizontal="left"/>
    </xf>
    <xf numFmtId="0" fontId="28" fillId="26" borderId="0" xfId="0" applyFont="1" applyFill="1" applyBorder="1" applyAlignment="1" applyProtection="1">
      <alignment horizontal="right"/>
      <protection locked="0"/>
    </xf>
    <xf numFmtId="0" fontId="27" fillId="26" borderId="10" xfId="0" applyFont="1" applyFill="1" applyBorder="1" applyAlignment="1" applyProtection="1">
      <alignment horizontal="left"/>
      <protection locked="0"/>
    </xf>
    <xf numFmtId="0" fontId="28" fillId="26" borderId="0" xfId="0" applyFont="1" applyFill="1" applyBorder="1" applyAlignment="1" applyProtection="1">
      <alignment horizontal="left"/>
      <protection locked="0"/>
    </xf>
    <xf numFmtId="49" fontId="0" fillId="26" borderId="0" xfId="0" applyNumberFormat="1" applyFont="1" applyFill="1" applyBorder="1" applyAlignment="1" applyProtection="1">
      <alignment/>
      <protection locked="0"/>
    </xf>
    <xf numFmtId="49" fontId="0" fillId="25" borderId="0" xfId="0" applyNumberFormat="1" applyFont="1" applyFill="1" applyAlignment="1" applyProtection="1">
      <alignment/>
      <protection locked="0"/>
    </xf>
    <xf numFmtId="0" fontId="0" fillId="31" borderId="0" xfId="0" applyFont="1" applyFill="1" applyBorder="1" applyAlignment="1" applyProtection="1">
      <alignment/>
      <protection locked="0"/>
    </xf>
    <xf numFmtId="49" fontId="0" fillId="31" borderId="0" xfId="0" applyNumberFormat="1" applyFont="1" applyFill="1" applyBorder="1" applyAlignment="1" applyProtection="1">
      <alignment/>
      <protection locked="0"/>
    </xf>
    <xf numFmtId="0" fontId="0" fillId="25" borderId="0" xfId="0" applyFont="1" applyFill="1" applyAlignment="1" applyProtection="1">
      <alignment vertical="top"/>
      <protection locked="0"/>
    </xf>
    <xf numFmtId="49" fontId="0" fillId="25" borderId="0" xfId="0" applyNumberFormat="1" applyFont="1" applyFill="1" applyBorder="1" applyAlignment="1" applyProtection="1">
      <alignment/>
      <protection locked="0"/>
    </xf>
    <xf numFmtId="0" fontId="0" fillId="25" borderId="0" xfId="0" applyFont="1" applyFill="1" applyBorder="1" applyAlignment="1" applyProtection="1">
      <alignment vertical="top"/>
      <protection locked="0"/>
    </xf>
    <xf numFmtId="0" fontId="27" fillId="26" borderId="12" xfId="0" applyFont="1" applyFill="1" applyBorder="1" applyAlignment="1">
      <alignment/>
    </xf>
    <xf numFmtId="0" fontId="27" fillId="31" borderId="0" xfId="0" applyFont="1" applyFill="1" applyBorder="1" applyAlignment="1">
      <alignment/>
    </xf>
    <xf numFmtId="0" fontId="21" fillId="26" borderId="0" xfId="0" applyFont="1" applyFill="1" applyBorder="1" applyAlignment="1">
      <alignment horizontal="center"/>
    </xf>
    <xf numFmtId="0" fontId="0" fillId="33" borderId="0" xfId="0" applyFont="1" applyFill="1" applyAlignment="1" applyProtection="1">
      <alignment/>
      <protection locked="0"/>
    </xf>
    <xf numFmtId="0" fontId="27" fillId="32" borderId="0" xfId="0" applyFont="1" applyFill="1" applyAlignment="1">
      <alignment/>
    </xf>
    <xf numFmtId="0" fontId="27" fillId="33" borderId="0" xfId="0" applyFont="1" applyFill="1" applyAlignment="1" applyProtection="1">
      <alignment/>
      <protection locked="0"/>
    </xf>
    <xf numFmtId="0" fontId="27" fillId="25" borderId="0" xfId="0" applyFont="1" applyFill="1" applyAlignment="1" applyProtection="1">
      <alignment/>
      <protection locked="0"/>
    </xf>
    <xf numFmtId="0" fontId="27" fillId="25" borderId="0" xfId="0" applyFont="1" applyFill="1" applyAlignment="1">
      <alignment/>
    </xf>
    <xf numFmtId="0" fontId="0" fillId="35" borderId="0" xfId="0" applyFont="1" applyFill="1" applyAlignment="1" applyProtection="1">
      <alignment/>
      <protection locked="0"/>
    </xf>
    <xf numFmtId="0" fontId="22" fillId="35" borderId="0" xfId="0" applyFont="1" applyFill="1" applyAlignment="1" applyProtection="1">
      <alignment/>
      <protection locked="0"/>
    </xf>
    <xf numFmtId="0" fontId="28" fillId="35" borderId="0" xfId="0" applyFont="1" applyFill="1" applyAlignment="1" applyProtection="1">
      <alignment/>
      <protection locked="0"/>
    </xf>
    <xf numFmtId="0" fontId="27" fillId="35" borderId="0" xfId="0" applyFont="1" applyFill="1" applyAlignment="1">
      <alignment/>
    </xf>
    <xf numFmtId="0" fontId="22" fillId="31" borderId="0" xfId="0" applyFont="1" applyFill="1" applyAlignment="1" applyProtection="1">
      <alignment/>
      <protection locked="0"/>
    </xf>
    <xf numFmtId="0" fontId="28" fillId="31" borderId="0" xfId="0" applyFont="1" applyFill="1" applyAlignment="1" applyProtection="1">
      <alignment/>
      <protection locked="0"/>
    </xf>
    <xf numFmtId="0" fontId="26" fillId="31" borderId="0" xfId="0" applyFont="1" applyFill="1" applyAlignment="1" applyProtection="1">
      <alignment/>
      <protection locked="0"/>
    </xf>
    <xf numFmtId="0" fontId="29" fillId="31" borderId="0" xfId="0" applyFont="1" applyFill="1" applyAlignment="1" applyProtection="1">
      <alignment/>
      <protection locked="0"/>
    </xf>
    <xf numFmtId="0" fontId="0" fillId="35" borderId="26" xfId="0" applyFont="1" applyFill="1" applyBorder="1" applyAlignment="1" applyProtection="1">
      <alignment/>
      <protection locked="0"/>
    </xf>
    <xf numFmtId="0" fontId="26" fillId="35" borderId="0" xfId="0" applyFont="1" applyFill="1" applyAlignment="1" applyProtection="1">
      <alignment/>
      <protection locked="0"/>
    </xf>
    <xf numFmtId="0" fontId="29" fillId="35" borderId="0" xfId="0" applyFont="1" applyFill="1" applyAlignment="1" applyProtection="1">
      <alignment/>
      <protection locked="0"/>
    </xf>
    <xf numFmtId="0" fontId="22" fillId="5" borderId="25" xfId="0" applyFont="1" applyFill="1" applyBorder="1" applyAlignment="1" applyProtection="1">
      <alignment/>
      <protection locked="0"/>
    </xf>
    <xf numFmtId="0" fontId="28" fillId="5" borderId="25" xfId="0" applyFont="1" applyFill="1" applyBorder="1" applyAlignment="1" applyProtection="1">
      <alignment/>
      <protection locked="0"/>
    </xf>
    <xf numFmtId="3" fontId="22" fillId="28" borderId="10" xfId="0" applyNumberFormat="1" applyFont="1" applyFill="1" applyBorder="1" applyAlignment="1" applyProtection="1">
      <alignment/>
      <protection locked="0"/>
    </xf>
    <xf numFmtId="0" fontId="27" fillId="28" borderId="0" xfId="0" applyFont="1" applyFill="1" applyAlignment="1">
      <alignment/>
    </xf>
    <xf numFmtId="0" fontId="28" fillId="28" borderId="10" xfId="0" applyFont="1" applyFill="1" applyBorder="1" applyAlignment="1" applyProtection="1">
      <alignment/>
      <protection locked="0"/>
    </xf>
    <xf numFmtId="0" fontId="27" fillId="29" borderId="0" xfId="0" applyFont="1" applyFill="1" applyAlignment="1">
      <alignment/>
    </xf>
    <xf numFmtId="0" fontId="22" fillId="33" borderId="0" xfId="0" applyFont="1" applyFill="1" applyBorder="1" applyAlignment="1" applyProtection="1">
      <alignment/>
      <protection locked="0"/>
    </xf>
    <xf numFmtId="0" fontId="27" fillId="25" borderId="0" xfId="0" applyFont="1" applyFill="1" applyBorder="1" applyAlignment="1">
      <alignment/>
    </xf>
    <xf numFmtId="0" fontId="0" fillId="33" borderId="0" xfId="0" applyFont="1" applyFill="1" applyBorder="1" applyAlignment="1" applyProtection="1">
      <alignment/>
      <protection locked="0"/>
    </xf>
    <xf numFmtId="0" fontId="28" fillId="33" borderId="0" xfId="0" applyFont="1" applyFill="1" applyBorder="1" applyAlignment="1" applyProtection="1">
      <alignment/>
      <protection locked="0"/>
    </xf>
    <xf numFmtId="0" fontId="27" fillId="33" borderId="0" xfId="0" applyFont="1" applyFill="1" applyBorder="1" applyAlignment="1" applyProtection="1">
      <alignment/>
      <protection locked="0"/>
    </xf>
    <xf numFmtId="0" fontId="27" fillId="33" borderId="0" xfId="0" applyFont="1" applyFill="1" applyBorder="1" applyAlignment="1">
      <alignment/>
    </xf>
    <xf numFmtId="0" fontId="28" fillId="25" borderId="0" xfId="0" applyFont="1" applyFill="1" applyBorder="1" applyAlignment="1" applyProtection="1">
      <alignment/>
      <protection locked="0"/>
    </xf>
    <xf numFmtId="0" fontId="27" fillId="25" borderId="0" xfId="0" applyFont="1" applyFill="1" applyBorder="1" applyAlignment="1" applyProtection="1">
      <alignment/>
      <protection locked="0"/>
    </xf>
    <xf numFmtId="0" fontId="22" fillId="31" borderId="0" xfId="0" applyFont="1" applyFill="1" applyBorder="1" applyAlignment="1" applyProtection="1">
      <alignment/>
      <protection locked="0"/>
    </xf>
    <xf numFmtId="0" fontId="28" fillId="31" borderId="0" xfId="0" applyFont="1" applyFill="1" applyBorder="1" applyAlignment="1" applyProtection="1">
      <alignment/>
      <protection locked="0"/>
    </xf>
    <xf numFmtId="0" fontId="27" fillId="0" borderId="0" xfId="0" applyFont="1" applyFill="1" applyBorder="1" applyAlignment="1" applyProtection="1">
      <alignment/>
      <protection locked="0"/>
    </xf>
    <xf numFmtId="0" fontId="28" fillId="26" borderId="0" xfId="0" applyFont="1" applyFill="1" applyBorder="1" applyAlignment="1" applyProtection="1">
      <alignment/>
      <protection locked="0"/>
    </xf>
    <xf numFmtId="49" fontId="0" fillId="0" borderId="0" xfId="0" applyNumberFormat="1" applyFont="1" applyFill="1" applyBorder="1" applyAlignment="1" applyProtection="1">
      <alignment/>
      <protection locked="0"/>
    </xf>
    <xf numFmtId="0" fontId="27" fillId="0" borderId="0" xfId="0" applyFont="1" applyFill="1" applyBorder="1" applyAlignment="1">
      <alignment/>
    </xf>
    <xf numFmtId="0" fontId="13" fillId="0" borderId="13" xfId="52" applyFont="1" applyFill="1" applyBorder="1" applyAlignment="1" applyProtection="1">
      <alignment horizontal="right" wrapText="1"/>
      <protection locked="0"/>
    </xf>
    <xf numFmtId="0" fontId="27" fillId="26" borderId="10" xfId="0" applyFont="1" applyFill="1" applyBorder="1" applyAlignment="1" applyProtection="1">
      <alignment horizontal="right" vertical="top"/>
      <protection locked="0"/>
    </xf>
    <xf numFmtId="0" fontId="28" fillId="25" borderId="0" xfId="0" applyFont="1" applyFill="1" applyBorder="1" applyAlignment="1" applyProtection="1">
      <alignment vertical="center"/>
      <protection locked="0"/>
    </xf>
    <xf numFmtId="49" fontId="0" fillId="0" borderId="0" xfId="0" applyNumberFormat="1" applyFont="1" applyBorder="1" applyAlignment="1" applyProtection="1">
      <alignment/>
      <protection locked="0"/>
    </xf>
    <xf numFmtId="2" fontId="22" fillId="25" borderId="0" xfId="0" applyNumberFormat="1" applyFont="1" applyFill="1" applyBorder="1" applyAlignment="1" applyProtection="1">
      <alignment horizontal="left"/>
      <protection locked="0"/>
    </xf>
    <xf numFmtId="2" fontId="28" fillId="25" borderId="0" xfId="0" applyNumberFormat="1" applyFont="1" applyFill="1" applyBorder="1" applyAlignment="1" applyProtection="1">
      <alignment horizontal="left"/>
      <protection locked="0"/>
    </xf>
    <xf numFmtId="0" fontId="22" fillId="25" borderId="0" xfId="0" applyFont="1" applyFill="1" applyBorder="1" applyAlignment="1" applyProtection="1">
      <alignment vertical="top"/>
      <protection locked="0"/>
    </xf>
    <xf numFmtId="0" fontId="0" fillId="26" borderId="25" xfId="0" applyFont="1" applyFill="1" applyBorder="1" applyAlignment="1" applyProtection="1">
      <alignment/>
      <protection locked="0"/>
    </xf>
    <xf numFmtId="0" fontId="27" fillId="0" borderId="16" xfId="0" applyFont="1" applyBorder="1" applyAlignment="1" applyProtection="1">
      <alignment/>
      <protection locked="0"/>
    </xf>
    <xf numFmtId="0" fontId="28" fillId="25" borderId="0" xfId="0" applyFont="1" applyFill="1" applyBorder="1" applyAlignment="1" applyProtection="1">
      <alignment horizontal="left"/>
      <protection locked="0"/>
    </xf>
    <xf numFmtId="0" fontId="22" fillId="5" borderId="27" xfId="0" applyFont="1" applyFill="1" applyBorder="1" applyAlignment="1" applyProtection="1">
      <alignment/>
      <protection locked="0"/>
    </xf>
    <xf numFmtId="0" fontId="28" fillId="5" borderId="27" xfId="0" applyFont="1" applyFill="1" applyBorder="1" applyAlignment="1" applyProtection="1">
      <alignment/>
      <protection locked="0"/>
    </xf>
    <xf numFmtId="3" fontId="0" fillId="24" borderId="0" xfId="0" applyNumberFormat="1" applyFont="1" applyFill="1" applyBorder="1" applyAlignment="1" applyProtection="1">
      <alignment/>
      <protection locked="0"/>
    </xf>
    <xf numFmtId="3" fontId="0" fillId="0" borderId="0" xfId="0" applyNumberFormat="1" applyFont="1" applyBorder="1" applyAlignment="1" applyProtection="1">
      <alignment/>
      <protection locked="0"/>
    </xf>
    <xf numFmtId="3" fontId="0" fillId="25" borderId="0" xfId="0" applyNumberFormat="1" applyFont="1" applyFill="1" applyBorder="1" applyAlignment="1" applyProtection="1">
      <alignment/>
      <protection locked="0"/>
    </xf>
    <xf numFmtId="0" fontId="27" fillId="26" borderId="0" xfId="0" applyFont="1" applyFill="1" applyAlignment="1">
      <alignment horizontal="center" vertical="center"/>
    </xf>
    <xf numFmtId="0" fontId="27" fillId="26" borderId="0" xfId="0" applyFont="1" applyFill="1" applyAlignment="1">
      <alignment horizontal="center"/>
    </xf>
    <xf numFmtId="0" fontId="21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21" fillId="25" borderId="1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21" fillId="26" borderId="0" xfId="0" applyFont="1" applyFill="1" applyAlignment="1">
      <alignment horizontal="center"/>
    </xf>
    <xf numFmtId="0" fontId="21" fillId="25" borderId="11" xfId="0" applyFont="1" applyFill="1" applyBorder="1" applyAlignment="1">
      <alignment/>
    </xf>
    <xf numFmtId="0" fontId="21" fillId="25" borderId="24" xfId="0" applyFont="1" applyFill="1" applyBorder="1" applyAlignment="1">
      <alignment/>
    </xf>
    <xf numFmtId="0" fontId="21" fillId="25" borderId="10" xfId="0" applyFont="1" applyFill="1" applyBorder="1" applyAlignment="1">
      <alignment/>
    </xf>
    <xf numFmtId="3" fontId="21" fillId="25" borderId="10" xfId="0" applyNumberFormat="1" applyFont="1" applyFill="1" applyBorder="1" applyAlignment="1">
      <alignment/>
    </xf>
    <xf numFmtId="0" fontId="30" fillId="26" borderId="0" xfId="0" applyFont="1" applyFill="1" applyAlignment="1">
      <alignment/>
    </xf>
    <xf numFmtId="0" fontId="30" fillId="26" borderId="0" xfId="0" applyFont="1" applyFill="1" applyAlignment="1">
      <alignment horizontal="center"/>
    </xf>
    <xf numFmtId="0" fontId="25" fillId="26" borderId="0" xfId="0" applyFont="1" applyFill="1" applyAlignment="1">
      <alignment horizontal="left"/>
    </xf>
    <xf numFmtId="0" fontId="0" fillId="25" borderId="0" xfId="0" applyFont="1" applyFill="1" applyAlignment="1">
      <alignment/>
    </xf>
    <xf numFmtId="0" fontId="21" fillId="0" borderId="0" xfId="0" applyFont="1" applyAlignment="1">
      <alignment horizontal="left"/>
    </xf>
    <xf numFmtId="0" fontId="0" fillId="26" borderId="10" xfId="52" applyFont="1" applyFill="1" applyBorder="1" applyAlignment="1" applyProtection="1">
      <alignment horizontal="right" wrapText="1"/>
      <protection locked="0"/>
    </xf>
    <xf numFmtId="49" fontId="0" fillId="26" borderId="0" xfId="0" applyNumberFormat="1" applyFont="1" applyFill="1" applyBorder="1" applyAlignment="1" applyProtection="1">
      <alignment horizontal="right"/>
      <protection locked="0"/>
    </xf>
    <xf numFmtId="0" fontId="28" fillId="26" borderId="0" xfId="0" applyFont="1" applyFill="1" applyBorder="1" applyAlignment="1">
      <alignment/>
    </xf>
    <xf numFmtId="0" fontId="27" fillId="26" borderId="0" xfId="0" applyFont="1" applyFill="1" applyBorder="1" applyAlignment="1">
      <alignment horizontal="center" vertical="center"/>
    </xf>
    <xf numFmtId="0" fontId="27" fillId="26" borderId="0" xfId="0" applyFont="1" applyFill="1" applyBorder="1" applyAlignment="1">
      <alignment horizontal="center"/>
    </xf>
    <xf numFmtId="0" fontId="22" fillId="26" borderId="0" xfId="0" applyFont="1" applyFill="1" applyAlignment="1">
      <alignment/>
    </xf>
    <xf numFmtId="3" fontId="27" fillId="0" borderId="0" xfId="0" applyNumberFormat="1" applyFont="1" applyFill="1" applyAlignment="1">
      <alignment/>
    </xf>
    <xf numFmtId="0" fontId="21" fillId="26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0" fillId="26" borderId="0" xfId="0" applyFill="1" applyAlignment="1">
      <alignment horizontal="left"/>
    </xf>
    <xf numFmtId="0" fontId="45" fillId="26" borderId="0" xfId="0" applyFont="1" applyFill="1" applyAlignment="1" applyProtection="1">
      <alignment/>
      <protection locked="0"/>
    </xf>
    <xf numFmtId="0" fontId="45" fillId="0" borderId="0" xfId="0" applyFont="1" applyAlignment="1" applyProtection="1">
      <alignment/>
      <protection locked="0"/>
    </xf>
    <xf numFmtId="0" fontId="0" fillId="25" borderId="0" xfId="0" applyFont="1" applyFill="1" applyBorder="1" applyAlignment="1">
      <alignment/>
    </xf>
    <xf numFmtId="0" fontId="27" fillId="26" borderId="11" xfId="0" applyFont="1" applyFill="1" applyBorder="1" applyAlignment="1" applyProtection="1">
      <alignment horizontal="left"/>
      <protection locked="0"/>
    </xf>
    <xf numFmtId="3" fontId="30" fillId="26" borderId="10" xfId="0" applyNumberFormat="1" applyFont="1" applyFill="1" applyBorder="1" applyAlignment="1">
      <alignment horizontal="center"/>
    </xf>
    <xf numFmtId="0" fontId="27" fillId="26" borderId="19" xfId="0" applyFont="1" applyFill="1" applyBorder="1" applyAlignment="1" applyProtection="1">
      <alignment/>
      <protection locked="0"/>
    </xf>
    <xf numFmtId="0" fontId="22" fillId="36" borderId="10" xfId="0" applyFont="1" applyFill="1" applyBorder="1" applyAlignment="1" applyProtection="1">
      <alignment/>
      <protection locked="0"/>
    </xf>
    <xf numFmtId="0" fontId="28" fillId="36" borderId="10" xfId="0" applyFont="1" applyFill="1" applyBorder="1" applyAlignment="1" applyProtection="1">
      <alignment/>
      <protection locked="0"/>
    </xf>
    <xf numFmtId="0" fontId="0" fillId="36" borderId="10" xfId="0" applyFont="1" applyFill="1" applyBorder="1" applyAlignment="1" applyProtection="1">
      <alignment/>
      <protection locked="0"/>
    </xf>
    <xf numFmtId="0" fontId="28" fillId="36" borderId="11" xfId="0" applyFont="1" applyFill="1" applyBorder="1" applyAlignment="1" applyProtection="1">
      <alignment horizontal="left"/>
      <protection locked="0"/>
    </xf>
    <xf numFmtId="0" fontId="27" fillId="36" borderId="10" xfId="0" applyFont="1" applyFill="1" applyBorder="1" applyAlignment="1" applyProtection="1">
      <alignment horizontal="left"/>
      <protection locked="0"/>
    </xf>
    <xf numFmtId="0" fontId="28" fillId="36" borderId="10" xfId="0" applyFont="1" applyFill="1" applyBorder="1" applyAlignment="1" applyProtection="1">
      <alignment horizontal="left"/>
      <protection locked="0"/>
    </xf>
    <xf numFmtId="0" fontId="27" fillId="36" borderId="10" xfId="0" applyFont="1" applyFill="1" applyBorder="1" applyAlignment="1" applyProtection="1">
      <alignment/>
      <protection locked="0"/>
    </xf>
    <xf numFmtId="0" fontId="0" fillId="36" borderId="15" xfId="0" applyFont="1" applyFill="1" applyBorder="1" applyAlignment="1" applyProtection="1">
      <alignment/>
      <protection locked="0"/>
    </xf>
    <xf numFmtId="0" fontId="22" fillId="36" borderId="15" xfId="0" applyFont="1" applyFill="1" applyBorder="1" applyAlignment="1" applyProtection="1">
      <alignment/>
      <protection locked="0"/>
    </xf>
    <xf numFmtId="0" fontId="28" fillId="36" borderId="15" xfId="0" applyFont="1" applyFill="1" applyBorder="1" applyAlignment="1" applyProtection="1">
      <alignment/>
      <protection locked="0"/>
    </xf>
    <xf numFmtId="0" fontId="22" fillId="36" borderId="10" xfId="51" applyFont="1" applyFill="1" applyBorder="1" applyAlignment="1" applyProtection="1">
      <alignment horizontal="right" wrapText="1"/>
      <protection locked="0"/>
    </xf>
    <xf numFmtId="0" fontId="22" fillId="36" borderId="13" xfId="0" applyFont="1" applyFill="1" applyBorder="1" applyAlignment="1" applyProtection="1">
      <alignment/>
      <protection locked="0"/>
    </xf>
    <xf numFmtId="0" fontId="28" fillId="36" borderId="16" xfId="0" applyFont="1" applyFill="1" applyBorder="1" applyAlignment="1" applyProtection="1">
      <alignment/>
      <protection locked="0"/>
    </xf>
    <xf numFmtId="0" fontId="22" fillId="36" borderId="10" xfId="0" applyFont="1" applyFill="1" applyBorder="1" applyAlignment="1" applyProtection="1">
      <alignment horizontal="right"/>
      <protection locked="0"/>
    </xf>
    <xf numFmtId="0" fontId="22" fillId="36" borderId="10" xfId="0" applyFont="1" applyFill="1" applyBorder="1" applyAlignment="1" applyProtection="1">
      <alignment vertical="top"/>
      <protection locked="0"/>
    </xf>
    <xf numFmtId="0" fontId="27" fillId="36" borderId="11" xfId="0" applyFont="1" applyFill="1" applyBorder="1" applyAlignment="1" applyProtection="1">
      <alignment/>
      <protection locked="0"/>
    </xf>
    <xf numFmtId="0" fontId="0" fillId="36" borderId="13" xfId="0" applyFont="1" applyFill="1" applyBorder="1" applyAlignment="1" applyProtection="1">
      <alignment/>
      <protection locked="0"/>
    </xf>
    <xf numFmtId="0" fontId="27" fillId="36" borderId="16" xfId="0" applyFont="1" applyFill="1" applyBorder="1" applyAlignment="1" applyProtection="1">
      <alignment/>
      <protection locked="0"/>
    </xf>
    <xf numFmtId="0" fontId="28" fillId="36" borderId="11" xfId="0" applyFont="1" applyFill="1" applyBorder="1" applyAlignment="1" applyProtection="1">
      <alignment/>
      <protection locked="0"/>
    </xf>
    <xf numFmtId="0" fontId="28" fillId="36" borderId="13" xfId="0" applyFont="1" applyFill="1" applyBorder="1" applyAlignment="1" applyProtection="1">
      <alignment/>
      <protection locked="0"/>
    </xf>
    <xf numFmtId="0" fontId="22" fillId="36" borderId="10" xfId="52" applyFont="1" applyFill="1" applyBorder="1" applyAlignment="1" applyProtection="1">
      <alignment horizontal="right" wrapText="1"/>
      <protection locked="0"/>
    </xf>
    <xf numFmtId="0" fontId="31" fillId="36" borderId="10" xfId="0" applyFont="1" applyFill="1" applyBorder="1" applyAlignment="1">
      <alignment/>
    </xf>
    <xf numFmtId="0" fontId="32" fillId="36" borderId="10" xfId="0" applyFont="1" applyFill="1" applyBorder="1" applyAlignment="1">
      <alignment/>
    </xf>
    <xf numFmtId="0" fontId="32" fillId="36" borderId="11" xfId="0" applyFont="1" applyFill="1" applyBorder="1" applyAlignment="1">
      <alignment horizontal="left"/>
    </xf>
    <xf numFmtId="0" fontId="32" fillId="36" borderId="12" xfId="0" applyFont="1" applyFill="1" applyBorder="1" applyAlignment="1">
      <alignment horizontal="left"/>
    </xf>
    <xf numFmtId="0" fontId="32" fillId="36" borderId="12" xfId="0" applyFont="1" applyFill="1" applyBorder="1" applyAlignment="1">
      <alignment horizontal="left"/>
    </xf>
    <xf numFmtId="0" fontId="32" fillId="36" borderId="11" xfId="0" applyFont="1" applyFill="1" applyBorder="1" applyAlignment="1">
      <alignment horizontal="left"/>
    </xf>
    <xf numFmtId="0" fontId="32" fillId="36" borderId="11" xfId="0" applyFont="1" applyFill="1" applyBorder="1" applyAlignment="1">
      <alignment/>
    </xf>
    <xf numFmtId="0" fontId="32" fillId="36" borderId="12" xfId="0" applyFont="1" applyFill="1" applyBorder="1" applyAlignment="1">
      <alignment/>
    </xf>
    <xf numFmtId="0" fontId="27" fillId="26" borderId="11" xfId="0" applyFont="1" applyFill="1" applyBorder="1" applyAlignment="1">
      <alignment/>
    </xf>
    <xf numFmtId="0" fontId="27" fillId="26" borderId="10" xfId="0" applyFont="1" applyFill="1" applyBorder="1" applyAlignment="1" applyProtection="1">
      <alignment horizontal="left" vertical="top"/>
      <protection locked="0"/>
    </xf>
    <xf numFmtId="0" fontId="0" fillId="26" borderId="12" xfId="0" applyFont="1" applyFill="1" applyBorder="1" applyAlignment="1" applyProtection="1">
      <alignment vertical="center"/>
      <protection locked="0"/>
    </xf>
    <xf numFmtId="0" fontId="27" fillId="26" borderId="10" xfId="0" applyFont="1" applyFill="1" applyBorder="1" applyAlignment="1" applyProtection="1">
      <alignment vertic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28" fillId="36" borderId="10" xfId="0" applyFont="1" applyFill="1" applyBorder="1" applyAlignment="1" applyProtection="1">
      <alignment horizontal="right" vertical="top"/>
      <protection locked="0"/>
    </xf>
    <xf numFmtId="0" fontId="0" fillId="26" borderId="0" xfId="0" applyFont="1" applyFill="1" applyBorder="1" applyAlignment="1" applyProtection="1">
      <alignment/>
      <protection locked="0"/>
    </xf>
    <xf numFmtId="0" fontId="0" fillId="26" borderId="0" xfId="0" applyFont="1" applyFill="1" applyAlignment="1" applyProtection="1">
      <alignment/>
      <protection locked="0"/>
    </xf>
    <xf numFmtId="0" fontId="0" fillId="26" borderId="10" xfId="0" applyFont="1" applyFill="1" applyBorder="1" applyAlignment="1" applyProtection="1">
      <alignment/>
      <protection locked="0"/>
    </xf>
    <xf numFmtId="0" fontId="28" fillId="36" borderId="10" xfId="0" applyFont="1" applyFill="1" applyBorder="1" applyAlignment="1" applyProtection="1">
      <alignment/>
      <protection locked="0"/>
    </xf>
    <xf numFmtId="0" fontId="27" fillId="26" borderId="10" xfId="0" applyFont="1" applyFill="1" applyBorder="1" applyAlignment="1" applyProtection="1">
      <alignment/>
      <protection locked="0"/>
    </xf>
    <xf numFmtId="3" fontId="22" fillId="26" borderId="19" xfId="0" applyNumberFormat="1" applyFont="1" applyFill="1" applyBorder="1" applyAlignment="1">
      <alignment horizontal="center"/>
    </xf>
    <xf numFmtId="3" fontId="23" fillId="25" borderId="10" xfId="0" applyNumberFormat="1" applyFont="1" applyFill="1" applyBorder="1" applyAlignment="1">
      <alignment horizontal="center"/>
    </xf>
    <xf numFmtId="3" fontId="0" fillId="36" borderId="10" xfId="0" applyNumberFormat="1" applyFont="1" applyFill="1" applyBorder="1" applyAlignment="1">
      <alignment/>
    </xf>
    <xf numFmtId="0" fontId="28" fillId="36" borderId="10" xfId="0" applyFont="1" applyFill="1" applyBorder="1" applyAlignment="1" applyProtection="1">
      <alignment horizontal="right" vertical="top"/>
      <protection locked="0"/>
    </xf>
    <xf numFmtId="0" fontId="22" fillId="36" borderId="10" xfId="0" applyFont="1" applyFill="1" applyBorder="1" applyAlignment="1" applyProtection="1">
      <alignment/>
      <protection locked="0"/>
    </xf>
    <xf numFmtId="0" fontId="0" fillId="26" borderId="10" xfId="0" applyFont="1" applyFill="1" applyBorder="1" applyAlignment="1" applyProtection="1">
      <alignment/>
      <protection locked="0"/>
    </xf>
    <xf numFmtId="0" fontId="27" fillId="26" borderId="10" xfId="0" applyFont="1" applyFill="1" applyBorder="1" applyAlignment="1" applyProtection="1">
      <alignment/>
      <protection locked="0"/>
    </xf>
    <xf numFmtId="0" fontId="22" fillId="36" borderId="10" xfId="0" applyFont="1" applyFill="1" applyBorder="1" applyAlignment="1" applyProtection="1">
      <alignment/>
      <protection locked="0"/>
    </xf>
    <xf numFmtId="0" fontId="28" fillId="36" borderId="10" xfId="0" applyFont="1" applyFill="1" applyBorder="1" applyAlignment="1" applyProtection="1">
      <alignment/>
      <protection locked="0"/>
    </xf>
    <xf numFmtId="0" fontId="46" fillId="26" borderId="11" xfId="0" applyFont="1" applyFill="1" applyBorder="1" applyAlignment="1" applyProtection="1">
      <alignment horizontal="left"/>
      <protection locked="0"/>
    </xf>
    <xf numFmtId="0" fontId="47" fillId="26" borderId="10" xfId="0" applyFont="1" applyFill="1" applyBorder="1" applyAlignment="1">
      <alignment/>
    </xf>
    <xf numFmtId="0" fontId="47" fillId="0" borderId="10" xfId="0" applyFont="1" applyBorder="1" applyAlignment="1">
      <alignment/>
    </xf>
    <xf numFmtId="0" fontId="25" fillId="26" borderId="0" xfId="0" applyFont="1" applyFill="1" applyAlignment="1">
      <alignment horizontal="left"/>
    </xf>
    <xf numFmtId="3" fontId="28" fillId="29" borderId="13" xfId="0" applyNumberFormat="1" applyFont="1" applyFill="1" applyBorder="1" applyAlignment="1">
      <alignment horizontal="center" vertical="center" wrapText="1"/>
    </xf>
    <xf numFmtId="3" fontId="28" fillId="29" borderId="15" xfId="0" applyNumberFormat="1" applyFont="1" applyFill="1" applyBorder="1" applyAlignment="1">
      <alignment horizontal="center" vertical="center" wrapText="1"/>
    </xf>
    <xf numFmtId="0" fontId="27" fillId="26" borderId="11" xfId="0" applyFont="1" applyFill="1" applyBorder="1" applyAlignment="1" applyProtection="1">
      <alignment vertical="top" wrapText="1"/>
      <protection locked="0"/>
    </xf>
    <xf numFmtId="0" fontId="28" fillId="36" borderId="11" xfId="0" applyFont="1" applyFill="1" applyBorder="1" applyAlignment="1" applyProtection="1">
      <alignment horizontal="left" vertical="top" wrapText="1"/>
      <protection locked="0"/>
    </xf>
    <xf numFmtId="0" fontId="28" fillId="25" borderId="0" xfId="0" applyFont="1" applyFill="1" applyBorder="1" applyAlignment="1" applyProtection="1">
      <alignment horizontal="left"/>
      <protection locked="0"/>
    </xf>
    <xf numFmtId="0" fontId="27" fillId="26" borderId="11" xfId="0" applyFont="1" applyFill="1" applyBorder="1" applyAlignment="1" applyProtection="1">
      <alignment horizontal="left" vertical="top" wrapText="1"/>
      <protection locked="0"/>
    </xf>
    <xf numFmtId="0" fontId="27" fillId="36" borderId="10" xfId="0" applyFont="1" applyFill="1" applyBorder="1" applyAlignment="1" applyProtection="1">
      <alignment horizontal="left" vertical="top" wrapText="1"/>
      <protection locked="0"/>
    </xf>
    <xf numFmtId="0" fontId="27" fillId="26" borderId="10" xfId="0" applyFont="1" applyFill="1" applyBorder="1" applyAlignment="1" applyProtection="1">
      <alignment horizontal="left" vertical="top" wrapText="1"/>
      <protection locked="0"/>
    </xf>
    <xf numFmtId="0" fontId="27" fillId="26" borderId="11" xfId="0" applyFont="1" applyFill="1" applyBorder="1" applyAlignment="1" applyProtection="1">
      <alignment horizontal="left"/>
      <protection locked="0"/>
    </xf>
    <xf numFmtId="0" fontId="28" fillId="36" borderId="10" xfId="0" applyFont="1" applyFill="1" applyBorder="1" applyAlignment="1" applyProtection="1">
      <alignment horizontal="left"/>
      <protection locked="0"/>
    </xf>
    <xf numFmtId="0" fontId="28" fillId="36" borderId="11" xfId="0" applyFont="1" applyFill="1" applyBorder="1" applyAlignment="1" applyProtection="1">
      <alignment horizontal="left" vertical="top" wrapText="1"/>
      <protection locked="0"/>
    </xf>
    <xf numFmtId="0" fontId="28" fillId="25" borderId="0" xfId="0" applyFont="1" applyFill="1" applyBorder="1" applyAlignment="1" applyProtection="1">
      <alignment horizontal="left" wrapText="1"/>
      <protection locked="0"/>
    </xf>
    <xf numFmtId="0" fontId="28" fillId="36" borderId="11" xfId="0" applyFont="1" applyFill="1" applyBorder="1" applyAlignment="1" applyProtection="1">
      <alignment horizontal="left"/>
      <protection locked="0"/>
    </xf>
    <xf numFmtId="0" fontId="28" fillId="25" borderId="21" xfId="0" applyFont="1" applyFill="1" applyBorder="1" applyAlignment="1" applyProtection="1">
      <alignment horizontal="left" vertical="top" wrapText="1"/>
      <protection locked="0"/>
    </xf>
    <xf numFmtId="0" fontId="27" fillId="26" borderId="10" xfId="0" applyFont="1" applyFill="1" applyBorder="1" applyAlignment="1" applyProtection="1">
      <alignment horizontal="left" vertical="top"/>
      <protection locked="0"/>
    </xf>
    <xf numFmtId="0" fontId="28" fillId="32" borderId="11" xfId="0" applyFont="1" applyFill="1" applyBorder="1" applyAlignment="1" applyProtection="1">
      <alignment horizontal="left"/>
      <protection locked="0"/>
    </xf>
    <xf numFmtId="0" fontId="27" fillId="36" borderId="11" xfId="0" applyFont="1" applyFill="1" applyBorder="1" applyAlignment="1" applyProtection="1">
      <alignment horizontal="left" vertical="top" wrapText="1"/>
      <protection locked="0"/>
    </xf>
    <xf numFmtId="0" fontId="28" fillId="25" borderId="0" xfId="0" applyFont="1" applyFill="1" applyBorder="1" applyAlignment="1" applyProtection="1">
      <alignment horizontal="left" vertical="top" wrapText="1"/>
      <protection locked="0"/>
    </xf>
    <xf numFmtId="0" fontId="28" fillId="36" borderId="10" xfId="0" applyFont="1" applyFill="1" applyBorder="1" applyAlignment="1" applyProtection="1">
      <alignment horizontal="left" vertical="top" wrapText="1"/>
      <protection locked="0"/>
    </xf>
    <xf numFmtId="0" fontId="27" fillId="0" borderId="11" xfId="0" applyFont="1" applyBorder="1" applyAlignment="1" applyProtection="1">
      <alignment horizontal="left" vertical="center" wrapText="1"/>
      <protection locked="0"/>
    </xf>
    <xf numFmtId="0" fontId="27" fillId="26" borderId="10" xfId="0" applyFont="1" applyFill="1" applyBorder="1" applyAlignment="1" applyProtection="1">
      <alignment horizontal="left"/>
      <protection locked="0"/>
    </xf>
    <xf numFmtId="0" fontId="27" fillId="26" borderId="11" xfId="0" applyFont="1" applyFill="1" applyBorder="1" applyAlignment="1" applyProtection="1">
      <alignment horizontal="left" vertical="center" wrapText="1"/>
      <protection locked="0"/>
    </xf>
    <xf numFmtId="0" fontId="28" fillId="36" borderId="10" xfId="0" applyFont="1" applyFill="1" applyBorder="1" applyAlignment="1" applyProtection="1">
      <alignment horizontal="left" wrapText="1"/>
      <protection locked="0"/>
    </xf>
    <xf numFmtId="0" fontId="28" fillId="31" borderId="10" xfId="0" applyFont="1" applyFill="1" applyBorder="1" applyAlignment="1" applyProtection="1">
      <alignment horizontal="left"/>
      <protection locked="0"/>
    </xf>
    <xf numFmtId="0" fontId="27" fillId="26" borderId="11" xfId="0" applyFont="1" applyFill="1" applyBorder="1" applyAlignment="1" applyProtection="1">
      <alignment horizontal="left" vertical="center"/>
      <protection locked="0"/>
    </xf>
    <xf numFmtId="0" fontId="28" fillId="36" borderId="20" xfId="0" applyFont="1" applyFill="1" applyBorder="1" applyAlignment="1" applyProtection="1">
      <alignment horizontal="left" wrapText="1"/>
      <protection locked="0"/>
    </xf>
    <xf numFmtId="0" fontId="27" fillId="26" borderId="11" xfId="0" applyFont="1" applyFill="1" applyBorder="1" applyAlignment="1" applyProtection="1">
      <alignment wrapText="1"/>
      <protection locked="0"/>
    </xf>
    <xf numFmtId="0" fontId="27" fillId="26" borderId="11" xfId="0" applyFont="1" applyFill="1" applyBorder="1" applyAlignment="1" applyProtection="1">
      <alignment horizontal="left" wrapText="1"/>
      <protection locked="0"/>
    </xf>
    <xf numFmtId="0" fontId="27" fillId="36" borderId="11" xfId="0" applyFont="1" applyFill="1" applyBorder="1" applyAlignment="1" applyProtection="1">
      <alignment horizontal="left" wrapText="1"/>
      <protection locked="0"/>
    </xf>
    <xf numFmtId="0" fontId="27" fillId="25" borderId="21" xfId="0" applyFont="1" applyFill="1" applyBorder="1" applyAlignment="1" applyProtection="1">
      <alignment horizontal="left"/>
      <protection locked="0"/>
    </xf>
    <xf numFmtId="0" fontId="28" fillId="28" borderId="11" xfId="0" applyFont="1" applyFill="1" applyBorder="1" applyAlignment="1" applyProtection="1">
      <alignment horizontal="left"/>
      <protection locked="0"/>
    </xf>
    <xf numFmtId="0" fontId="28" fillId="26" borderId="11" xfId="0" applyFont="1" applyFill="1" applyBorder="1" applyAlignment="1" applyProtection="1">
      <alignment horizontal="left"/>
      <protection locked="0"/>
    </xf>
    <xf numFmtId="0" fontId="28" fillId="32" borderId="10" xfId="0" applyFont="1" applyFill="1" applyBorder="1" applyAlignment="1" applyProtection="1">
      <alignment horizontal="left"/>
      <protection locked="0"/>
    </xf>
    <xf numFmtId="0" fontId="27" fillId="36" borderId="10" xfId="0" applyFont="1" applyFill="1" applyBorder="1" applyAlignment="1" applyProtection="1">
      <alignment horizontal="left"/>
      <protection locked="0"/>
    </xf>
    <xf numFmtId="0" fontId="28" fillId="25" borderId="0" xfId="0" applyFont="1" applyFill="1" applyBorder="1" applyAlignment="1" applyProtection="1">
      <alignment horizontal="left" vertical="center" wrapText="1"/>
      <protection locked="0"/>
    </xf>
    <xf numFmtId="0" fontId="27" fillId="33" borderId="0" xfId="0" applyFont="1" applyFill="1" applyBorder="1" applyAlignment="1" applyProtection="1">
      <alignment horizontal="left"/>
      <protection locked="0"/>
    </xf>
    <xf numFmtId="0" fontId="27" fillId="7" borderId="21" xfId="0" applyFont="1" applyFill="1" applyBorder="1" applyAlignment="1" applyProtection="1">
      <alignment horizontal="left"/>
      <protection locked="0"/>
    </xf>
    <xf numFmtId="0" fontId="28" fillId="31" borderId="19" xfId="0" applyFont="1" applyFill="1" applyBorder="1" applyAlignment="1" applyProtection="1">
      <alignment horizontal="left"/>
      <protection locked="0"/>
    </xf>
    <xf numFmtId="0" fontId="46" fillId="26" borderId="11" xfId="0" applyFont="1" applyFill="1" applyBorder="1" applyAlignment="1" applyProtection="1">
      <alignment horizontal="left"/>
      <protection locked="0"/>
    </xf>
    <xf numFmtId="0" fontId="28" fillId="29" borderId="10" xfId="0" applyFont="1" applyFill="1" applyBorder="1" applyAlignment="1" applyProtection="1">
      <alignment horizontal="left"/>
      <protection locked="0"/>
    </xf>
    <xf numFmtId="0" fontId="28" fillId="31" borderId="0" xfId="0" applyFont="1" applyFill="1" applyBorder="1" applyAlignment="1" applyProtection="1">
      <alignment horizontal="left"/>
      <protection locked="0"/>
    </xf>
    <xf numFmtId="0" fontId="28" fillId="31" borderId="10" xfId="0" applyFont="1" applyFill="1" applyBorder="1" applyAlignment="1" applyProtection="1">
      <alignment horizontal="left" wrapText="1"/>
      <protection locked="0"/>
    </xf>
    <xf numFmtId="0" fontId="28" fillId="25" borderId="21" xfId="0" applyFont="1" applyFill="1" applyBorder="1" applyAlignment="1" applyProtection="1">
      <alignment horizontal="left" wrapText="1"/>
      <protection locked="0"/>
    </xf>
    <xf numFmtId="0" fontId="27" fillId="25" borderId="0" xfId="0" applyFont="1" applyFill="1" applyBorder="1" applyAlignment="1" applyProtection="1">
      <alignment horizontal="left" wrapText="1"/>
      <protection locked="0"/>
    </xf>
    <xf numFmtId="0" fontId="27" fillId="25" borderId="0" xfId="0" applyFont="1" applyFill="1" applyBorder="1" applyAlignment="1" applyProtection="1">
      <alignment horizontal="left"/>
      <protection locked="0"/>
    </xf>
    <xf numFmtId="0" fontId="28" fillId="26" borderId="10" xfId="0" applyFont="1" applyFill="1" applyBorder="1" applyAlignment="1" applyProtection="1">
      <alignment horizontal="left"/>
      <protection locked="0"/>
    </xf>
    <xf numFmtId="0" fontId="28" fillId="33" borderId="0" xfId="0" applyFont="1" applyFill="1" applyBorder="1" applyAlignment="1" applyProtection="1">
      <alignment horizontal="left"/>
      <protection locked="0"/>
    </xf>
    <xf numFmtId="0" fontId="27" fillId="26" borderId="10" xfId="0" applyFont="1" applyFill="1" applyBorder="1" applyAlignment="1" applyProtection="1">
      <alignment horizontal="left" wrapText="1"/>
      <protection locked="0"/>
    </xf>
    <xf numFmtId="3" fontId="28" fillId="28" borderId="10" xfId="0" applyNumberFormat="1" applyFont="1" applyFill="1" applyBorder="1" applyAlignment="1" applyProtection="1">
      <alignment horizontal="left"/>
      <protection locked="0"/>
    </xf>
    <xf numFmtId="0" fontId="27" fillId="26" borderId="11" xfId="0" applyFont="1" applyFill="1" applyBorder="1" applyAlignment="1" applyProtection="1">
      <alignment horizontal="left" vertical="top"/>
      <protection locked="0"/>
    </xf>
    <xf numFmtId="0" fontId="28" fillId="26" borderId="10" xfId="0" applyFont="1" applyFill="1" applyBorder="1" applyAlignment="1" applyProtection="1">
      <alignment horizontal="left" wrapText="1"/>
      <protection locked="0"/>
    </xf>
    <xf numFmtId="0" fontId="28" fillId="7" borderId="0" xfId="0" applyFont="1" applyFill="1" applyBorder="1" applyAlignment="1" applyProtection="1">
      <alignment horizontal="left"/>
      <protection locked="0"/>
    </xf>
    <xf numFmtId="0" fontId="27" fillId="26" borderId="10" xfId="0" applyFont="1" applyFill="1" applyBorder="1" applyAlignment="1" applyProtection="1">
      <alignment horizontal="left" vertical="center" wrapText="1"/>
      <protection locked="0"/>
    </xf>
    <xf numFmtId="0" fontId="28" fillId="33" borderId="11" xfId="0" applyFont="1" applyFill="1" applyBorder="1" applyAlignment="1" applyProtection="1">
      <alignment horizontal="right"/>
      <protection locked="0"/>
    </xf>
    <xf numFmtId="0" fontId="28" fillId="29" borderId="11" xfId="0" applyFont="1" applyFill="1" applyBorder="1" applyAlignment="1" applyProtection="1">
      <alignment horizontal="left"/>
      <protection locked="0"/>
    </xf>
    <xf numFmtId="0" fontId="27" fillId="26" borderId="16" xfId="0" applyFont="1" applyFill="1" applyBorder="1" applyAlignment="1" applyProtection="1">
      <alignment horizontal="left" vertical="top" wrapText="1"/>
      <protection locked="0"/>
    </xf>
    <xf numFmtId="0" fontId="27" fillId="26" borderId="11" xfId="0" applyFont="1" applyFill="1" applyBorder="1" applyAlignment="1">
      <alignment horizontal="left" vertical="top" wrapText="1"/>
    </xf>
    <xf numFmtId="0" fontId="27" fillId="36" borderId="11" xfId="0" applyFont="1" applyFill="1" applyBorder="1" applyAlignment="1" applyProtection="1">
      <alignment horizontal="left"/>
      <protection locked="0"/>
    </xf>
    <xf numFmtId="0" fontId="28" fillId="31" borderId="11" xfId="0" applyFont="1" applyFill="1" applyBorder="1" applyAlignment="1" applyProtection="1">
      <alignment horizontal="left"/>
      <protection locked="0"/>
    </xf>
    <xf numFmtId="0" fontId="27" fillId="36" borderId="11" xfId="0" applyFont="1" applyFill="1" applyBorder="1" applyAlignment="1" applyProtection="1">
      <alignment horizontal="left" vertical="center" wrapText="1"/>
      <protection locked="0"/>
    </xf>
    <xf numFmtId="0" fontId="28" fillId="36" borderId="11" xfId="0" applyFont="1" applyFill="1" applyBorder="1" applyAlignment="1" applyProtection="1">
      <alignment horizontal="left" wrapText="1"/>
      <protection locked="0"/>
    </xf>
    <xf numFmtId="0" fontId="27" fillId="26" borderId="20" xfId="0" applyFont="1" applyFill="1" applyBorder="1" applyAlignment="1" applyProtection="1">
      <alignment vertical="top" wrapText="1"/>
      <protection locked="0"/>
    </xf>
    <xf numFmtId="0" fontId="27" fillId="26" borderId="19" xfId="0" applyFont="1" applyFill="1" applyBorder="1" applyAlignment="1" applyProtection="1">
      <alignment horizontal="left" wrapText="1"/>
      <protection locked="0"/>
    </xf>
    <xf numFmtId="3" fontId="22" fillId="26" borderId="0" xfId="0" applyNumberFormat="1" applyFont="1" applyFill="1" applyBorder="1" applyAlignment="1">
      <alignment horizontal="center"/>
    </xf>
    <xf numFmtId="4" fontId="27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4" fontId="25" fillId="26" borderId="0" xfId="0" applyNumberFormat="1" applyFont="1" applyFill="1" applyAlignment="1">
      <alignment horizontal="center"/>
    </xf>
    <xf numFmtId="4" fontId="0" fillId="26" borderId="0" xfId="0" applyNumberFormat="1" applyFill="1" applyAlignment="1">
      <alignment/>
    </xf>
    <xf numFmtId="4" fontId="0" fillId="26" borderId="0" xfId="0" applyNumberFormat="1" applyFont="1" applyFill="1" applyAlignment="1">
      <alignment horizontal="left"/>
    </xf>
    <xf numFmtId="4" fontId="25" fillId="26" borderId="0" xfId="0" applyNumberFormat="1" applyFont="1" applyFill="1" applyAlignment="1">
      <alignment horizontal="left"/>
    </xf>
    <xf numFmtId="4" fontId="0" fillId="0" borderId="0" xfId="0" applyNumberFormat="1" applyFont="1" applyAlignment="1">
      <alignment horizontal="left"/>
    </xf>
    <xf numFmtId="4" fontId="22" fillId="26" borderId="19" xfId="0" applyNumberFormat="1" applyFont="1" applyFill="1" applyBorder="1" applyAlignment="1">
      <alignment horizontal="center"/>
    </xf>
    <xf numFmtId="4" fontId="23" fillId="25" borderId="10" xfId="0" applyNumberFormat="1" applyFont="1" applyFill="1" applyBorder="1" applyAlignment="1">
      <alignment horizontal="center"/>
    </xf>
    <xf numFmtId="4" fontId="0" fillId="31" borderId="10" xfId="0" applyNumberFormat="1" applyFont="1" applyFill="1" applyBorder="1" applyAlignment="1">
      <alignment/>
    </xf>
    <xf numFmtId="4" fontId="21" fillId="0" borderId="0" xfId="0" applyNumberFormat="1" applyFont="1" applyFill="1" applyBorder="1" applyAlignment="1">
      <alignment/>
    </xf>
    <xf numFmtId="4" fontId="21" fillId="25" borderId="10" xfId="0" applyNumberFormat="1" applyFont="1" applyFill="1" applyBorder="1" applyAlignment="1">
      <alignment/>
    </xf>
    <xf numFmtId="4" fontId="21" fillId="26" borderId="10" xfId="0" applyNumberFormat="1" applyFont="1" applyFill="1" applyBorder="1" applyAlignment="1">
      <alignment/>
    </xf>
    <xf numFmtId="4" fontId="21" fillId="31" borderId="10" xfId="0" applyNumberFormat="1" applyFont="1" applyFill="1" applyBorder="1" applyAlignment="1">
      <alignment/>
    </xf>
    <xf numFmtId="4" fontId="21" fillId="0" borderId="0" xfId="0" applyNumberFormat="1" applyFont="1" applyFill="1" applyAlignment="1">
      <alignment/>
    </xf>
    <xf numFmtId="4" fontId="30" fillId="26" borderId="10" xfId="0" applyNumberFormat="1" applyFont="1" applyFill="1" applyBorder="1" applyAlignment="1">
      <alignment horizontal="center"/>
    </xf>
    <xf numFmtId="4" fontId="33" fillId="26" borderId="10" xfId="0" applyNumberFormat="1" applyFont="1" applyFill="1" applyBorder="1" applyAlignment="1">
      <alignment/>
    </xf>
    <xf numFmtId="4" fontId="22" fillId="26" borderId="10" xfId="0" applyNumberFormat="1" applyFont="1" applyFill="1" applyBorder="1" applyAlignment="1">
      <alignment/>
    </xf>
    <xf numFmtId="4" fontId="0" fillId="36" borderId="10" xfId="0" applyNumberFormat="1" applyFont="1" applyFill="1" applyBorder="1" applyAlignment="1">
      <alignment/>
    </xf>
    <xf numFmtId="2" fontId="33" fillId="0" borderId="0" xfId="0" applyNumberFormat="1" applyFont="1" applyFill="1" applyAlignment="1">
      <alignment/>
    </xf>
    <xf numFmtId="2" fontId="27" fillId="26" borderId="0" xfId="0" applyNumberFormat="1" applyFont="1" applyFill="1" applyBorder="1" applyAlignment="1">
      <alignment/>
    </xf>
    <xf numFmtId="2" fontId="28" fillId="26" borderId="0" xfId="0" applyNumberFormat="1" applyFont="1" applyFill="1" applyBorder="1" applyAlignment="1">
      <alignment/>
    </xf>
    <xf numFmtId="2" fontId="33" fillId="0" borderId="0" xfId="0" applyNumberFormat="1" applyFont="1" applyAlignment="1">
      <alignment/>
    </xf>
    <xf numFmtId="2" fontId="33" fillId="31" borderId="0" xfId="0" applyNumberFormat="1" applyFont="1" applyFill="1" applyAlignment="1">
      <alignment/>
    </xf>
    <xf numFmtId="2" fontId="33" fillId="33" borderId="0" xfId="0" applyNumberFormat="1" applyFont="1" applyFill="1" applyAlignment="1">
      <alignment/>
    </xf>
    <xf numFmtId="2" fontId="33" fillId="35" borderId="0" xfId="0" applyNumberFormat="1" applyFont="1" applyFill="1" applyAlignment="1">
      <alignment/>
    </xf>
    <xf numFmtId="2" fontId="33" fillId="25" borderId="0" xfId="0" applyNumberFormat="1" applyFont="1" applyFill="1" applyAlignment="1">
      <alignment/>
    </xf>
    <xf numFmtId="2" fontId="28" fillId="0" borderId="0" xfId="0" applyNumberFormat="1" applyFont="1" applyAlignment="1" applyProtection="1">
      <alignment horizontal="center"/>
      <protection locked="0"/>
    </xf>
    <xf numFmtId="2" fontId="33" fillId="24" borderId="0" xfId="0" applyNumberFormat="1" applyFont="1" applyFill="1" applyAlignment="1" applyProtection="1">
      <alignment/>
      <protection locked="0"/>
    </xf>
    <xf numFmtId="2" fontId="0" fillId="0" borderId="0" xfId="0" applyNumberFormat="1" applyAlignment="1">
      <alignment/>
    </xf>
    <xf numFmtId="0" fontId="28" fillId="25" borderId="0" xfId="0" applyFont="1" applyFill="1" applyBorder="1" applyAlignment="1" applyProtection="1">
      <alignment horizontal="left"/>
      <protection locked="0"/>
    </xf>
    <xf numFmtId="0" fontId="48" fillId="36" borderId="10" xfId="0" applyFont="1" applyFill="1" applyBorder="1" applyAlignment="1" applyProtection="1">
      <alignment/>
      <protection locked="0"/>
    </xf>
    <xf numFmtId="4" fontId="33" fillId="31" borderId="10" xfId="0" applyNumberFormat="1" applyFont="1" applyFill="1" applyBorder="1" applyAlignment="1" applyProtection="1">
      <alignment/>
      <protection locked="0"/>
    </xf>
    <xf numFmtId="4" fontId="33" fillId="26" borderId="10" xfId="0" applyNumberFormat="1" applyFont="1" applyFill="1" applyBorder="1" applyAlignment="1" applyProtection="1">
      <alignment/>
      <protection locked="0"/>
    </xf>
    <xf numFmtId="4" fontId="33" fillId="26" borderId="13" xfId="0" applyNumberFormat="1" applyFont="1" applyFill="1" applyBorder="1" applyAlignment="1" applyProtection="1">
      <alignment/>
      <protection locked="0"/>
    </xf>
    <xf numFmtId="4" fontId="33" fillId="26" borderId="25" xfId="0" applyNumberFormat="1" applyFont="1" applyFill="1" applyBorder="1" applyAlignment="1" applyProtection="1">
      <alignment/>
      <protection locked="0"/>
    </xf>
    <xf numFmtId="0" fontId="0" fillId="36" borderId="10" xfId="0" applyFont="1" applyFill="1" applyBorder="1" applyAlignment="1" applyProtection="1">
      <alignment/>
      <protection locked="0"/>
    </xf>
    <xf numFmtId="0" fontId="27" fillId="36" borderId="10" xfId="0" applyFont="1" applyFill="1" applyBorder="1" applyAlignment="1" applyProtection="1">
      <alignment horizontal="right" vertical="top"/>
      <protection locked="0"/>
    </xf>
    <xf numFmtId="0" fontId="27" fillId="26" borderId="16" xfId="0" applyFont="1" applyFill="1" applyBorder="1" applyAlignment="1" applyProtection="1">
      <alignment horizontal="left" wrapText="1"/>
      <protection locked="0"/>
    </xf>
    <xf numFmtId="4" fontId="33" fillId="26" borderId="15" xfId="0" applyNumberFormat="1" applyFont="1" applyFill="1" applyBorder="1" applyAlignment="1" applyProtection="1">
      <alignment/>
      <protection locked="0"/>
    </xf>
    <xf numFmtId="4" fontId="33" fillId="0" borderId="0" xfId="0" applyNumberFormat="1" applyFont="1" applyBorder="1" applyAlignment="1">
      <alignment/>
    </xf>
    <xf numFmtId="4" fontId="33" fillId="25" borderId="0" xfId="0" applyNumberFormat="1" applyFont="1" applyFill="1" applyBorder="1" applyAlignment="1">
      <alignment/>
    </xf>
    <xf numFmtId="4" fontId="33" fillId="31" borderId="15" xfId="0" applyNumberFormat="1" applyFont="1" applyFill="1" applyBorder="1" applyAlignment="1" applyProtection="1">
      <alignment/>
      <protection locked="0"/>
    </xf>
    <xf numFmtId="4" fontId="33" fillId="28" borderId="10" xfId="0" applyNumberFormat="1" applyFont="1" applyFill="1" applyBorder="1" applyAlignment="1" applyProtection="1">
      <alignment/>
      <protection locked="0"/>
    </xf>
    <xf numFmtId="4" fontId="33" fillId="29" borderId="10" xfId="0" applyNumberFormat="1" applyFont="1" applyFill="1" applyBorder="1" applyAlignment="1" applyProtection="1">
      <alignment/>
      <protection locked="0"/>
    </xf>
    <xf numFmtId="4" fontId="33" fillId="33" borderId="10" xfId="0" applyNumberFormat="1" applyFont="1" applyFill="1" applyBorder="1" applyAlignment="1" applyProtection="1">
      <alignment/>
      <protection locked="0"/>
    </xf>
    <xf numFmtId="4" fontId="33" fillId="37" borderId="10" xfId="0" applyNumberFormat="1" applyFont="1" applyFill="1" applyBorder="1" applyAlignment="1" applyProtection="1">
      <alignment/>
      <protection locked="0"/>
    </xf>
    <xf numFmtId="4" fontId="33" fillId="37" borderId="10" xfId="0" applyNumberFormat="1" applyFont="1" applyFill="1" applyBorder="1" applyAlignment="1" applyProtection="1">
      <alignment vertical="center"/>
      <protection locked="0"/>
    </xf>
    <xf numFmtId="4" fontId="33" fillId="36" borderId="10" xfId="0" applyNumberFormat="1" applyFont="1" applyFill="1" applyBorder="1" applyAlignment="1" applyProtection="1">
      <alignment/>
      <protection locked="0"/>
    </xf>
    <xf numFmtId="4" fontId="33" fillId="36" borderId="13" xfId="0" applyNumberFormat="1" applyFont="1" applyFill="1" applyBorder="1" applyAlignment="1" applyProtection="1">
      <alignment/>
      <protection locked="0"/>
    </xf>
    <xf numFmtId="4" fontId="33" fillId="38" borderId="10" xfId="0" applyNumberFormat="1" applyFont="1" applyFill="1" applyBorder="1" applyAlignment="1">
      <alignment/>
    </xf>
    <xf numFmtId="4" fontId="33" fillId="0" borderId="10" xfId="0" applyNumberFormat="1" applyFont="1" applyBorder="1" applyAlignment="1">
      <alignment/>
    </xf>
    <xf numFmtId="4" fontId="33" fillId="38" borderId="13" xfId="0" applyNumberFormat="1" applyFont="1" applyFill="1" applyBorder="1" applyAlignment="1">
      <alignment/>
    </xf>
    <xf numFmtId="4" fontId="33" fillId="0" borderId="13" xfId="0" applyNumberFormat="1" applyFont="1" applyBorder="1" applyAlignment="1">
      <alignment/>
    </xf>
    <xf numFmtId="4" fontId="28" fillId="24" borderId="0" xfId="0" applyNumberFormat="1" applyFont="1" applyFill="1" applyBorder="1" applyAlignment="1" applyProtection="1">
      <alignment/>
      <protection locked="0"/>
    </xf>
    <xf numFmtId="4" fontId="28" fillId="25" borderId="0" xfId="0" applyNumberFormat="1" applyFont="1" applyFill="1" applyBorder="1" applyAlignment="1" applyProtection="1">
      <alignment horizontal="center"/>
      <protection locked="0"/>
    </xf>
    <xf numFmtId="4" fontId="33" fillId="31" borderId="25" xfId="0" applyNumberFormat="1" applyFont="1" applyFill="1" applyBorder="1" applyAlignment="1" applyProtection="1">
      <alignment/>
      <protection locked="0"/>
    </xf>
    <xf numFmtId="4" fontId="33" fillId="32" borderId="10" xfId="0" applyNumberFormat="1" applyFont="1" applyFill="1" applyBorder="1" applyAlignment="1" applyProtection="1">
      <alignment/>
      <protection locked="0"/>
    </xf>
    <xf numFmtId="4" fontId="28" fillId="24" borderId="0" xfId="0" applyNumberFormat="1" applyFont="1" applyFill="1" applyBorder="1" applyAlignment="1" applyProtection="1">
      <alignment horizontal="left"/>
      <protection locked="0"/>
    </xf>
    <xf numFmtId="4" fontId="33" fillId="33" borderId="0" xfId="0" applyNumberFormat="1" applyFont="1" applyFill="1" applyBorder="1" applyAlignment="1">
      <alignment/>
    </xf>
    <xf numFmtId="4" fontId="33" fillId="26" borderId="12" xfId="0" applyNumberFormat="1" applyFont="1" applyFill="1" applyBorder="1" applyAlignment="1" applyProtection="1">
      <alignment horizontal="right"/>
      <protection locked="0"/>
    </xf>
    <xf numFmtId="4" fontId="33" fillId="36" borderId="12" xfId="0" applyNumberFormat="1" applyFont="1" applyFill="1" applyBorder="1" applyAlignment="1" applyProtection="1">
      <alignment horizontal="right"/>
      <protection locked="0"/>
    </xf>
    <xf numFmtId="4" fontId="33" fillId="31" borderId="0" xfId="0" applyNumberFormat="1" applyFont="1" applyFill="1" applyBorder="1" applyAlignment="1">
      <alignment/>
    </xf>
    <xf numFmtId="4" fontId="33" fillId="0" borderId="25" xfId="0" applyNumberFormat="1" applyFont="1" applyBorder="1" applyAlignment="1">
      <alignment/>
    </xf>
    <xf numFmtId="4" fontId="33" fillId="26" borderId="0" xfId="0" applyNumberFormat="1" applyFont="1" applyFill="1" applyBorder="1" applyAlignment="1">
      <alignment/>
    </xf>
    <xf numFmtId="4" fontId="33" fillId="38" borderId="10" xfId="0" applyNumberFormat="1" applyFont="1" applyFill="1" applyBorder="1" applyAlignment="1" applyProtection="1">
      <alignment/>
      <protection locked="0"/>
    </xf>
    <xf numFmtId="4" fontId="33" fillId="0" borderId="10" xfId="0" applyNumberFormat="1" applyFont="1" applyFill="1" applyBorder="1" applyAlignment="1" applyProtection="1">
      <alignment/>
      <protection locked="0"/>
    </xf>
    <xf numFmtId="4" fontId="33" fillId="31" borderId="28" xfId="0" applyNumberFormat="1" applyFont="1" applyFill="1" applyBorder="1" applyAlignment="1" applyProtection="1">
      <alignment/>
      <protection locked="0"/>
    </xf>
    <xf numFmtId="4" fontId="33" fillId="26" borderId="10" xfId="0" applyNumberFormat="1" applyFont="1" applyFill="1" applyBorder="1" applyAlignment="1" applyProtection="1">
      <alignment vertical="top"/>
      <protection locked="0"/>
    </xf>
    <xf numFmtId="4" fontId="33" fillId="26" borderId="0" xfId="0" applyNumberFormat="1" applyFont="1" applyFill="1" applyBorder="1" applyAlignment="1" applyProtection="1">
      <alignment/>
      <protection locked="0"/>
    </xf>
    <xf numFmtId="4" fontId="33" fillId="25" borderId="0" xfId="0" applyNumberFormat="1" applyFont="1" applyFill="1" applyBorder="1" applyAlignment="1" applyProtection="1">
      <alignment/>
      <protection locked="0"/>
    </xf>
    <xf numFmtId="4" fontId="33" fillId="26" borderId="10" xfId="0" applyNumberFormat="1" applyFont="1" applyFill="1" applyBorder="1" applyAlignment="1" applyProtection="1">
      <alignment horizontal="right"/>
      <protection locked="0"/>
    </xf>
    <xf numFmtId="4" fontId="33" fillId="36" borderId="10" xfId="0" applyNumberFormat="1" applyFont="1" applyFill="1" applyBorder="1" applyAlignment="1" applyProtection="1">
      <alignment horizontal="right"/>
      <protection locked="0"/>
    </xf>
    <xf numFmtId="4" fontId="33" fillId="31" borderId="10" xfId="0" applyNumberFormat="1" applyFont="1" applyFill="1" applyBorder="1" applyAlignment="1" applyProtection="1">
      <alignment horizontal="right"/>
      <protection locked="0"/>
    </xf>
    <xf numFmtId="4" fontId="33" fillId="0" borderId="0" xfId="0" applyNumberFormat="1" applyFont="1" applyFill="1" applyBorder="1" applyAlignment="1">
      <alignment/>
    </xf>
    <xf numFmtId="4" fontId="23" fillId="26" borderId="10" xfId="0" applyNumberFormat="1" applyFont="1" applyFill="1" applyBorder="1" applyAlignment="1" applyProtection="1">
      <alignment/>
      <protection locked="0"/>
    </xf>
    <xf numFmtId="4" fontId="33" fillId="36" borderId="15" xfId="0" applyNumberFormat="1" applyFont="1" applyFill="1" applyBorder="1" applyAlignment="1" applyProtection="1">
      <alignment/>
      <protection locked="0"/>
    </xf>
    <xf numFmtId="4" fontId="33" fillId="26" borderId="10" xfId="0" applyNumberFormat="1" applyFont="1" applyFill="1" applyBorder="1" applyAlignment="1" applyProtection="1">
      <alignment/>
      <protection locked="0"/>
    </xf>
    <xf numFmtId="4" fontId="33" fillId="0" borderId="0" xfId="0" applyNumberFormat="1" applyFont="1" applyFill="1" applyBorder="1" applyAlignment="1" applyProtection="1">
      <alignment/>
      <protection locked="0"/>
    </xf>
    <xf numFmtId="4" fontId="34" fillId="26" borderId="10" xfId="0" applyNumberFormat="1" applyFont="1" applyFill="1" applyBorder="1" applyAlignment="1" applyProtection="1">
      <alignment/>
      <protection locked="0"/>
    </xf>
    <xf numFmtId="4" fontId="33" fillId="26" borderId="15" xfId="0" applyNumberFormat="1" applyFont="1" applyFill="1" applyBorder="1" applyAlignment="1">
      <alignment/>
    </xf>
    <xf numFmtId="4" fontId="33" fillId="26" borderId="13" xfId="0" applyNumberFormat="1" applyFont="1" applyFill="1" applyBorder="1" applyAlignment="1">
      <alignment/>
    </xf>
    <xf numFmtId="4" fontId="33" fillId="0" borderId="13" xfId="0" applyNumberFormat="1" applyFont="1" applyFill="1" applyBorder="1" applyAlignment="1" applyProtection="1">
      <alignment/>
      <protection locked="0"/>
    </xf>
    <xf numFmtId="4" fontId="28" fillId="25" borderId="0" xfId="0" applyNumberFormat="1" applyFont="1" applyFill="1" applyBorder="1" applyAlignment="1" applyProtection="1">
      <alignment horizontal="left" vertical="center" wrapText="1"/>
      <protection locked="0"/>
    </xf>
    <xf numFmtId="4" fontId="33" fillId="25" borderId="21" xfId="0" applyNumberFormat="1" applyFont="1" applyFill="1" applyBorder="1" applyAlignment="1" applyProtection="1">
      <alignment/>
      <protection locked="0"/>
    </xf>
    <xf numFmtId="4" fontId="33" fillId="36" borderId="25" xfId="0" applyNumberFormat="1" applyFont="1" applyFill="1" applyBorder="1" applyAlignment="1" applyProtection="1">
      <alignment/>
      <protection locked="0"/>
    </xf>
    <xf numFmtId="4" fontId="23" fillId="26" borderId="10" xfId="0" applyNumberFormat="1" applyFont="1" applyFill="1" applyBorder="1" applyAlignment="1" applyProtection="1">
      <alignment/>
      <protection locked="0"/>
    </xf>
    <xf numFmtId="4" fontId="33" fillId="31" borderId="10" xfId="0" applyNumberFormat="1" applyFont="1" applyFill="1" applyBorder="1" applyAlignment="1">
      <alignment/>
    </xf>
    <xf numFmtId="0" fontId="28" fillId="0" borderId="0" xfId="0" applyFont="1" applyAlignment="1" applyProtection="1">
      <alignment/>
      <protection locked="0"/>
    </xf>
    <xf numFmtId="4" fontId="27" fillId="31" borderId="10" xfId="0" applyNumberFormat="1" applyFont="1" applyFill="1" applyBorder="1" applyAlignment="1">
      <alignment/>
    </xf>
    <xf numFmtId="4" fontId="35" fillId="36" borderId="10" xfId="0" applyNumberFormat="1" applyFont="1" applyFill="1" applyBorder="1" applyAlignment="1">
      <alignment/>
    </xf>
    <xf numFmtId="4" fontId="35" fillId="26" borderId="10" xfId="0" applyNumberFormat="1" applyFont="1" applyFill="1" applyBorder="1" applyAlignment="1">
      <alignment/>
    </xf>
    <xf numFmtId="4" fontId="27" fillId="26" borderId="10" xfId="0" applyNumberFormat="1" applyFont="1" applyFill="1" applyBorder="1" applyAlignment="1">
      <alignment/>
    </xf>
    <xf numFmtId="4" fontId="27" fillId="36" borderId="10" xfId="0" applyNumberFormat="1" applyFont="1" applyFill="1" applyBorder="1" applyAlignment="1">
      <alignment/>
    </xf>
    <xf numFmtId="4" fontId="27" fillId="25" borderId="10" xfId="0" applyNumberFormat="1" applyFont="1" applyFill="1" applyBorder="1" applyAlignment="1">
      <alignment/>
    </xf>
    <xf numFmtId="4" fontId="28" fillId="31" borderId="10" xfId="0" applyNumberFormat="1" applyFont="1" applyFill="1" applyBorder="1" applyAlignment="1">
      <alignment/>
    </xf>
    <xf numFmtId="4" fontId="27" fillId="0" borderId="0" xfId="0" applyNumberFormat="1" applyFont="1" applyFill="1" applyBorder="1" applyAlignment="1">
      <alignment/>
    </xf>
    <xf numFmtId="3" fontId="27" fillId="0" borderId="0" xfId="0" applyNumberFormat="1" applyFont="1" applyFill="1" applyBorder="1" applyAlignment="1">
      <alignment/>
    </xf>
    <xf numFmtId="3" fontId="27" fillId="25" borderId="10" xfId="0" applyNumberFormat="1" applyFont="1" applyFill="1" applyBorder="1" applyAlignment="1">
      <alignment/>
    </xf>
    <xf numFmtId="4" fontId="27" fillId="0" borderId="0" xfId="0" applyNumberFormat="1" applyFont="1" applyBorder="1" applyAlignment="1">
      <alignment/>
    </xf>
    <xf numFmtId="3" fontId="27" fillId="0" borderId="0" xfId="0" applyNumberFormat="1" applyFont="1" applyBorder="1" applyAlignment="1">
      <alignment/>
    </xf>
    <xf numFmtId="4" fontId="28" fillId="26" borderId="10" xfId="0" applyNumberFormat="1" applyFont="1" applyFill="1" applyBorder="1" applyAlignment="1">
      <alignment/>
    </xf>
    <xf numFmtId="4" fontId="28" fillId="0" borderId="0" xfId="0" applyNumberFormat="1" applyFont="1" applyFill="1" applyBorder="1" applyAlignment="1">
      <alignment/>
    </xf>
    <xf numFmtId="3" fontId="28" fillId="0" borderId="0" xfId="0" applyNumberFormat="1" applyFont="1" applyFill="1" applyBorder="1" applyAlignment="1">
      <alignment/>
    </xf>
    <xf numFmtId="4" fontId="28" fillId="25" borderId="10" xfId="0" applyNumberFormat="1" applyFont="1" applyFill="1" applyBorder="1" applyAlignment="1">
      <alignment/>
    </xf>
    <xf numFmtId="3" fontId="28" fillId="25" borderId="10" xfId="0" applyNumberFormat="1" applyFont="1" applyFill="1" applyBorder="1" applyAlignment="1">
      <alignment/>
    </xf>
    <xf numFmtId="3" fontId="28" fillId="31" borderId="10" xfId="0" applyNumberFormat="1" applyFont="1" applyFill="1" applyBorder="1" applyAlignment="1">
      <alignment/>
    </xf>
    <xf numFmtId="4" fontId="28" fillId="0" borderId="0" xfId="0" applyNumberFormat="1" applyFont="1" applyBorder="1" applyAlignment="1">
      <alignment/>
    </xf>
    <xf numFmtId="3" fontId="28" fillId="0" borderId="0" xfId="0" applyNumberFormat="1" applyFont="1" applyBorder="1" applyAlignment="1">
      <alignment/>
    </xf>
    <xf numFmtId="0" fontId="21" fillId="26" borderId="0" xfId="0" applyFont="1" applyFill="1" applyBorder="1" applyAlignment="1">
      <alignment horizontal="center"/>
    </xf>
    <xf numFmtId="0" fontId="21" fillId="31" borderId="12" xfId="0" applyFont="1" applyFill="1" applyBorder="1" applyAlignment="1">
      <alignment/>
    </xf>
    <xf numFmtId="0" fontId="21" fillId="0" borderId="0" xfId="0" applyFont="1" applyBorder="1" applyAlignment="1">
      <alignment horizontal="center"/>
    </xf>
    <xf numFmtId="3" fontId="28" fillId="29" borderId="10" xfId="0" applyNumberFormat="1" applyFont="1" applyFill="1" applyBorder="1" applyAlignment="1">
      <alignment horizontal="center" vertical="center" wrapText="1"/>
    </xf>
    <xf numFmtId="4" fontId="49" fillId="26" borderId="10" xfId="0" applyNumberFormat="1" applyFont="1" applyFill="1" applyBorder="1" applyAlignment="1" applyProtection="1">
      <alignment/>
      <protection locked="0"/>
    </xf>
    <xf numFmtId="4" fontId="50" fillId="26" borderId="10" xfId="0" applyNumberFormat="1" applyFont="1" applyFill="1" applyBorder="1" applyAlignment="1" applyProtection="1">
      <alignment/>
      <protection locked="0"/>
    </xf>
    <xf numFmtId="0" fontId="27" fillId="0" borderId="16" xfId="0" applyFont="1" applyBorder="1" applyAlignment="1" applyProtection="1">
      <alignment horizontal="left" wrapText="1"/>
      <protection locked="0"/>
    </xf>
    <xf numFmtId="4" fontId="49" fillId="0" borderId="10" xfId="0" applyNumberFormat="1" applyFont="1" applyFill="1" applyBorder="1" applyAlignment="1" applyProtection="1">
      <alignment/>
      <protection locked="0"/>
    </xf>
    <xf numFmtId="4" fontId="49" fillId="26" borderId="15" xfId="0" applyNumberFormat="1" applyFont="1" applyFill="1" applyBorder="1" applyAlignment="1" applyProtection="1">
      <alignment/>
      <protection locked="0"/>
    </xf>
    <xf numFmtId="4" fontId="49" fillId="36" borderId="10" xfId="0" applyNumberFormat="1" applyFont="1" applyFill="1" applyBorder="1" applyAlignment="1" applyProtection="1">
      <alignment/>
      <protection locked="0"/>
    </xf>
    <xf numFmtId="4" fontId="51" fillId="26" borderId="10" xfId="0" applyNumberFormat="1" applyFont="1" applyFill="1" applyBorder="1" applyAlignment="1" applyProtection="1">
      <alignment/>
      <protection locked="0"/>
    </xf>
    <xf numFmtId="0" fontId="28" fillId="26" borderId="0" xfId="0" applyFont="1" applyFill="1" applyBorder="1" applyAlignment="1" applyProtection="1">
      <alignment horizontal="center"/>
      <protection locked="0"/>
    </xf>
    <xf numFmtId="4" fontId="34" fillId="26" borderId="10" xfId="0" applyNumberFormat="1" applyFont="1" applyFill="1" applyBorder="1" applyAlignment="1" applyProtection="1">
      <alignment/>
      <protection locked="0"/>
    </xf>
    <xf numFmtId="1" fontId="34" fillId="25" borderId="0" xfId="0" applyNumberFormat="1" applyFont="1" applyFill="1" applyAlignment="1">
      <alignment horizontal="center"/>
    </xf>
    <xf numFmtId="4" fontId="28" fillId="29" borderId="10" xfId="0" applyNumberFormat="1" applyFont="1" applyFill="1" applyBorder="1" applyAlignment="1">
      <alignment horizontal="center" vertical="center" wrapText="1"/>
    </xf>
    <xf numFmtId="3" fontId="25" fillId="25" borderId="10" xfId="0" applyNumberFormat="1" applyFont="1" applyFill="1" applyBorder="1" applyAlignment="1">
      <alignment horizontal="center"/>
    </xf>
    <xf numFmtId="4" fontId="25" fillId="25" borderId="10" xfId="0" applyNumberFormat="1" applyFont="1" applyFill="1" applyBorder="1" applyAlignment="1">
      <alignment horizontal="center"/>
    </xf>
    <xf numFmtId="4" fontId="28" fillId="37" borderId="10" xfId="0" applyNumberFormat="1" applyFont="1" applyFill="1" applyBorder="1" applyAlignment="1">
      <alignment/>
    </xf>
    <xf numFmtId="4" fontId="28" fillId="33" borderId="10" xfId="0" applyNumberFormat="1" applyFont="1" applyFill="1" applyBorder="1" applyAlignment="1">
      <alignment/>
    </xf>
    <xf numFmtId="0" fontId="28" fillId="26" borderId="11" xfId="0" applyFont="1" applyFill="1" applyBorder="1" applyAlignment="1" applyProtection="1">
      <alignment horizontal="left" vertical="top" wrapText="1"/>
      <protection locked="0"/>
    </xf>
    <xf numFmtId="0" fontId="27" fillId="29" borderId="0" xfId="0" applyFont="1" applyFill="1" applyBorder="1" applyAlignment="1">
      <alignment/>
    </xf>
    <xf numFmtId="4" fontId="28" fillId="29" borderId="13" xfId="0" applyNumberFormat="1" applyFont="1" applyFill="1" applyBorder="1" applyAlignment="1">
      <alignment horizontal="center" vertical="center" wrapText="1"/>
    </xf>
    <xf numFmtId="4" fontId="28" fillId="29" borderId="15" xfId="0" applyNumberFormat="1" applyFont="1" applyFill="1" applyBorder="1" applyAlignment="1">
      <alignment horizontal="center" vertical="center" wrapText="1"/>
    </xf>
    <xf numFmtId="43" fontId="27" fillId="26" borderId="0" xfId="63" applyNumberFormat="1" applyFont="1" applyFill="1" applyAlignment="1">
      <alignment/>
    </xf>
    <xf numFmtId="43" fontId="27" fillId="26" borderId="0" xfId="63" applyNumberFormat="1" applyFont="1" applyFill="1" applyAlignment="1">
      <alignment horizontal="center"/>
    </xf>
    <xf numFmtId="43" fontId="0" fillId="26" borderId="0" xfId="63" applyNumberFormat="1" applyFont="1" applyFill="1" applyAlignment="1">
      <alignment/>
    </xf>
    <xf numFmtId="43" fontId="0" fillId="26" borderId="0" xfId="63" applyNumberFormat="1" applyFont="1" applyFill="1" applyAlignment="1">
      <alignment horizontal="left"/>
    </xf>
    <xf numFmtId="43" fontId="0" fillId="26" borderId="0" xfId="63" applyNumberFormat="1" applyFont="1" applyFill="1" applyAlignment="1">
      <alignment/>
    </xf>
    <xf numFmtId="43" fontId="0" fillId="26" borderId="0" xfId="63" applyNumberFormat="1" applyFont="1" applyFill="1" applyBorder="1" applyAlignment="1">
      <alignment/>
    </xf>
    <xf numFmtId="43" fontId="30" fillId="26" borderId="0" xfId="63" applyNumberFormat="1" applyFont="1" applyFill="1" applyAlignment="1">
      <alignment/>
    </xf>
    <xf numFmtId="43" fontId="0" fillId="26" borderId="0" xfId="63" applyNumberFormat="1" applyFont="1" applyFill="1" applyAlignment="1">
      <alignment horizontal="left"/>
    </xf>
    <xf numFmtId="43" fontId="22" fillId="26" borderId="0" xfId="63" applyNumberFormat="1" applyFont="1" applyFill="1" applyAlignment="1">
      <alignment/>
    </xf>
    <xf numFmtId="4" fontId="22" fillId="26" borderId="0" xfId="0" applyNumberFormat="1" applyFont="1" applyFill="1" applyBorder="1" applyAlignment="1">
      <alignment horizontal="center"/>
    </xf>
    <xf numFmtId="4" fontId="28" fillId="29" borderId="13" xfId="0" applyNumberFormat="1" applyFont="1" applyFill="1" applyBorder="1" applyAlignment="1">
      <alignment horizontal="center" vertical="center" wrapText="1"/>
    </xf>
    <xf numFmtId="4" fontId="28" fillId="29" borderId="15" xfId="0" applyNumberFormat="1" applyFont="1" applyFill="1" applyBorder="1" applyAlignment="1">
      <alignment horizontal="center" vertical="center" wrapText="1"/>
    </xf>
    <xf numFmtId="0" fontId="28" fillId="37" borderId="10" xfId="0" applyFont="1" applyFill="1" applyBorder="1" applyAlignment="1">
      <alignment vertical="center" wrapText="1"/>
    </xf>
    <xf numFmtId="0" fontId="27" fillId="0" borderId="22" xfId="0" applyFont="1" applyBorder="1" applyAlignment="1">
      <alignment horizontal="center" vertical="center"/>
    </xf>
    <xf numFmtId="2" fontId="29" fillId="37" borderId="10" xfId="0" applyNumberFormat="1" applyFont="1" applyFill="1" applyBorder="1" applyAlignment="1">
      <alignment vertical="center" wrapText="1"/>
    </xf>
    <xf numFmtId="4" fontId="37" fillId="26" borderId="13" xfId="0" applyNumberFormat="1" applyFont="1" applyFill="1" applyBorder="1" applyAlignment="1" applyProtection="1">
      <alignment/>
      <protection locked="0"/>
    </xf>
    <xf numFmtId="0" fontId="27" fillId="36" borderId="10" xfId="0" applyFont="1" applyFill="1" applyBorder="1" applyAlignment="1" applyProtection="1">
      <alignment horizontal="right" vertical="top"/>
      <protection locked="0"/>
    </xf>
    <xf numFmtId="3" fontId="25" fillId="25" borderId="0" xfId="0" applyNumberFormat="1" applyFont="1" applyFill="1" applyAlignment="1">
      <alignment/>
    </xf>
    <xf numFmtId="0" fontId="0" fillId="26" borderId="24" xfId="0" applyFont="1" applyFill="1" applyBorder="1" applyAlignment="1" applyProtection="1">
      <alignment/>
      <protection locked="0"/>
    </xf>
    <xf numFmtId="0" fontId="0" fillId="26" borderId="24" xfId="0" applyFont="1" applyFill="1" applyBorder="1" applyAlignment="1" applyProtection="1">
      <alignment vertical="center"/>
      <protection locked="0"/>
    </xf>
    <xf numFmtId="4" fontId="28" fillId="33" borderId="10" xfId="0" applyNumberFormat="1" applyFont="1" applyFill="1" applyBorder="1" applyAlignment="1" applyProtection="1">
      <alignment/>
      <protection locked="0"/>
    </xf>
    <xf numFmtId="4" fontId="28" fillId="37" borderId="10" xfId="0" applyNumberFormat="1" applyFont="1" applyFill="1" applyBorder="1" applyAlignment="1" applyProtection="1">
      <alignment/>
      <protection locked="0"/>
    </xf>
    <xf numFmtId="4" fontId="28" fillId="37" borderId="10" xfId="0" applyNumberFormat="1" applyFont="1" applyFill="1" applyBorder="1" applyAlignment="1" applyProtection="1">
      <alignment vertical="center"/>
      <protection locked="0"/>
    </xf>
    <xf numFmtId="3" fontId="0" fillId="30" borderId="10" xfId="0" applyNumberFormat="1" applyFont="1" applyFill="1" applyBorder="1" applyAlignment="1" applyProtection="1">
      <alignment horizontal="center" vertical="center"/>
      <protection locked="0"/>
    </xf>
    <xf numFmtId="0" fontId="25" fillId="26" borderId="0" xfId="0" applyFont="1" applyFill="1" applyAlignment="1">
      <alignment horizontal="left" vertical="center" wrapText="1"/>
    </xf>
    <xf numFmtId="3" fontId="23" fillId="29" borderId="13" xfId="0" applyNumberFormat="1" applyFont="1" applyFill="1" applyBorder="1" applyAlignment="1">
      <alignment horizontal="center" vertical="center" wrapText="1"/>
    </xf>
    <xf numFmtId="3" fontId="23" fillId="29" borderId="25" xfId="0" applyNumberFormat="1" applyFont="1" applyFill="1" applyBorder="1" applyAlignment="1">
      <alignment horizontal="center" vertical="center" wrapText="1"/>
    </xf>
    <xf numFmtId="0" fontId="27" fillId="27" borderId="19" xfId="0" applyFont="1" applyFill="1" applyBorder="1" applyAlignment="1" applyProtection="1">
      <alignment horizontal="left" wrapText="1"/>
      <protection locked="0"/>
    </xf>
    <xf numFmtId="0" fontId="27" fillId="27" borderId="0" xfId="0" applyFont="1" applyFill="1" applyBorder="1" applyAlignment="1" applyProtection="1">
      <alignment horizontal="left" wrapText="1"/>
      <protection locked="0"/>
    </xf>
    <xf numFmtId="0" fontId="27" fillId="27" borderId="18" xfId="0" applyFont="1" applyFill="1" applyBorder="1" applyAlignment="1" applyProtection="1">
      <alignment horizontal="left" wrapText="1"/>
      <protection locked="0"/>
    </xf>
    <xf numFmtId="0" fontId="32" fillId="36" borderId="11" xfId="0" applyFont="1" applyFill="1" applyBorder="1" applyAlignment="1">
      <alignment horizontal="left" wrapText="1"/>
    </xf>
    <xf numFmtId="0" fontId="32" fillId="36" borderId="12" xfId="0" applyFont="1" applyFill="1" applyBorder="1" applyAlignment="1">
      <alignment horizontal="left" wrapText="1"/>
    </xf>
    <xf numFmtId="0" fontId="27" fillId="0" borderId="0" xfId="0" applyFont="1" applyAlignment="1">
      <alignment horizontal="left" vertical="top" wrapText="1"/>
    </xf>
    <xf numFmtId="0" fontId="21" fillId="26" borderId="0" xfId="0" applyFont="1" applyFill="1" applyBorder="1" applyAlignment="1">
      <alignment horizontal="center"/>
    </xf>
    <xf numFmtId="0" fontId="23" fillId="26" borderId="0" xfId="0" applyFont="1" applyFill="1" applyAlignment="1">
      <alignment horizontal="left"/>
    </xf>
    <xf numFmtId="0" fontId="21" fillId="31" borderId="10" xfId="0" applyFont="1" applyFill="1" applyBorder="1" applyAlignment="1">
      <alignment horizontal="center" wrapText="1"/>
    </xf>
    <xf numFmtId="4" fontId="28" fillId="29" borderId="10" xfId="0" applyNumberFormat="1" applyFont="1" applyFill="1" applyBorder="1" applyAlignment="1">
      <alignment horizontal="center" vertical="center" wrapText="1"/>
    </xf>
    <xf numFmtId="0" fontId="32" fillId="36" borderId="11" xfId="0" applyFont="1" applyFill="1" applyBorder="1" applyAlignment="1">
      <alignment horizontal="left" vertical="top" wrapText="1"/>
    </xf>
    <xf numFmtId="0" fontId="32" fillId="36" borderId="12" xfId="0" applyFont="1" applyFill="1" applyBorder="1" applyAlignment="1">
      <alignment horizontal="left" vertical="top" wrapText="1"/>
    </xf>
    <xf numFmtId="0" fontId="27" fillId="27" borderId="0" xfId="0" applyFont="1" applyFill="1" applyBorder="1" applyAlignment="1" applyProtection="1">
      <alignment horizontal="left"/>
      <protection locked="0"/>
    </xf>
    <xf numFmtId="0" fontId="27" fillId="27" borderId="18" xfId="0" applyFont="1" applyFill="1" applyBorder="1" applyAlignment="1" applyProtection="1">
      <alignment horizontal="left"/>
      <protection locked="0"/>
    </xf>
    <xf numFmtId="0" fontId="21" fillId="0" borderId="11" xfId="0" applyFont="1" applyBorder="1" applyAlignment="1">
      <alignment horizontal="left" wrapText="1"/>
    </xf>
    <xf numFmtId="0" fontId="21" fillId="0" borderId="12" xfId="0" applyFont="1" applyBorder="1" applyAlignment="1">
      <alignment horizontal="left" wrapText="1"/>
    </xf>
    <xf numFmtId="0" fontId="21" fillId="0" borderId="11" xfId="0" applyFont="1" applyBorder="1" applyAlignment="1">
      <alignment horizontal="left"/>
    </xf>
    <xf numFmtId="0" fontId="21" fillId="0" borderId="12" xfId="0" applyFont="1" applyBorder="1" applyAlignment="1">
      <alignment horizontal="left"/>
    </xf>
    <xf numFmtId="0" fontId="32" fillId="36" borderId="11" xfId="0" applyFont="1" applyFill="1" applyBorder="1" applyAlignment="1">
      <alignment horizontal="left"/>
    </xf>
    <xf numFmtId="0" fontId="32" fillId="36" borderId="12" xfId="0" applyFont="1" applyFill="1" applyBorder="1" applyAlignment="1">
      <alignment horizontal="left"/>
    </xf>
    <xf numFmtId="0" fontId="21" fillId="0" borderId="11" xfId="0" applyFont="1" applyBorder="1" applyAlignment="1">
      <alignment horizontal="left" vertical="center" wrapText="1"/>
    </xf>
    <xf numFmtId="0" fontId="21" fillId="0" borderId="12" xfId="0" applyFont="1" applyBorder="1" applyAlignment="1">
      <alignment horizontal="left" vertical="center"/>
    </xf>
    <xf numFmtId="3" fontId="23" fillId="37" borderId="13" xfId="0" applyNumberFormat="1" applyFont="1" applyFill="1" applyBorder="1" applyAlignment="1">
      <alignment horizontal="center" vertical="center" wrapText="1"/>
    </xf>
    <xf numFmtId="3" fontId="23" fillId="37" borderId="25" xfId="0" applyNumberFormat="1" applyFont="1" applyFill="1" applyBorder="1" applyAlignment="1">
      <alignment horizontal="center" vertical="center" wrapText="1"/>
    </xf>
    <xf numFmtId="2" fontId="29" fillId="37" borderId="13" xfId="0" applyNumberFormat="1" applyFont="1" applyFill="1" applyBorder="1" applyAlignment="1">
      <alignment horizontal="center" vertical="center" wrapText="1"/>
    </xf>
    <xf numFmtId="2" fontId="29" fillId="37" borderId="15" xfId="0" applyNumberFormat="1" applyFont="1" applyFill="1" applyBorder="1" applyAlignment="1">
      <alignment horizontal="center" vertical="center" wrapText="1"/>
    </xf>
    <xf numFmtId="4" fontId="23" fillId="29" borderId="13" xfId="0" applyNumberFormat="1" applyFont="1" applyFill="1" applyBorder="1" applyAlignment="1">
      <alignment horizontal="center" vertical="center" wrapText="1"/>
    </xf>
    <xf numFmtId="4" fontId="23" fillId="29" borderId="25" xfId="0" applyNumberFormat="1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wrapText="1"/>
    </xf>
    <xf numFmtId="0" fontId="21" fillId="0" borderId="12" xfId="0" applyFont="1" applyBorder="1" applyAlignment="1">
      <alignment wrapText="1"/>
    </xf>
    <xf numFmtId="0" fontId="21" fillId="0" borderId="11" xfId="0" applyFont="1" applyBorder="1" applyAlignment="1">
      <alignment horizontal="left" vertical="top" wrapText="1"/>
    </xf>
    <xf numFmtId="0" fontId="21" fillId="0" borderId="12" xfId="0" applyFont="1" applyBorder="1" applyAlignment="1">
      <alignment horizontal="left" vertical="top"/>
    </xf>
    <xf numFmtId="0" fontId="28" fillId="0" borderId="0" xfId="0" applyFont="1" applyFill="1" applyAlignment="1">
      <alignment horizontal="center"/>
    </xf>
    <xf numFmtId="4" fontId="23" fillId="37" borderId="13" xfId="0" applyNumberFormat="1" applyFont="1" applyFill="1" applyBorder="1" applyAlignment="1">
      <alignment horizontal="center" vertical="center" wrapText="1"/>
    </xf>
    <xf numFmtId="4" fontId="23" fillId="37" borderId="25" xfId="0" applyNumberFormat="1" applyFont="1" applyFill="1" applyBorder="1" applyAlignment="1">
      <alignment horizontal="center" vertical="center" wrapText="1"/>
    </xf>
    <xf numFmtId="0" fontId="21" fillId="25" borderId="11" xfId="0" applyFont="1" applyFill="1" applyBorder="1" applyAlignment="1">
      <alignment horizontal="left" wrapText="1"/>
    </xf>
    <xf numFmtId="0" fontId="21" fillId="25" borderId="24" xfId="0" applyFont="1" applyFill="1" applyBorder="1" applyAlignment="1">
      <alignment horizontal="left" wrapText="1"/>
    </xf>
    <xf numFmtId="0" fontId="21" fillId="25" borderId="12" xfId="0" applyFont="1" applyFill="1" applyBorder="1" applyAlignment="1">
      <alignment horizontal="left" wrapText="1"/>
    </xf>
    <xf numFmtId="0" fontId="21" fillId="0" borderId="10" xfId="0" applyFont="1" applyBorder="1" applyAlignment="1">
      <alignment horizontal="left" wrapText="1"/>
    </xf>
    <xf numFmtId="0" fontId="28" fillId="0" borderId="0" xfId="0" applyFont="1" applyAlignment="1">
      <alignment horizontal="center"/>
    </xf>
    <xf numFmtId="2" fontId="29" fillId="37" borderId="10" xfId="0" applyNumberFormat="1" applyFont="1" applyFill="1" applyBorder="1" applyAlignment="1">
      <alignment horizontal="center" vertical="center" wrapText="1"/>
    </xf>
    <xf numFmtId="0" fontId="21" fillId="31" borderId="10" xfId="0" applyFont="1" applyFill="1" applyBorder="1" applyAlignment="1">
      <alignment horizontal="left"/>
    </xf>
    <xf numFmtId="0" fontId="21" fillId="0" borderId="10" xfId="0" applyFont="1" applyFill="1" applyBorder="1" applyAlignment="1">
      <alignment horizontal="center" wrapText="1"/>
    </xf>
    <xf numFmtId="0" fontId="21" fillId="26" borderId="11" xfId="0" applyFont="1" applyFill="1" applyBorder="1" applyAlignment="1">
      <alignment horizontal="left"/>
    </xf>
    <xf numFmtId="0" fontId="21" fillId="26" borderId="12" xfId="0" applyFont="1" applyFill="1" applyBorder="1" applyAlignment="1">
      <alignment horizontal="left"/>
    </xf>
    <xf numFmtId="0" fontId="23" fillId="26" borderId="0" xfId="0" applyFont="1" applyFill="1" applyAlignment="1">
      <alignment horizontal="center"/>
    </xf>
    <xf numFmtId="4" fontId="28" fillId="29" borderId="13" xfId="0" applyNumberFormat="1" applyFont="1" applyFill="1" applyBorder="1" applyAlignment="1">
      <alignment horizontal="center" vertical="center" wrapText="1"/>
    </xf>
    <xf numFmtId="4" fontId="28" fillId="29" borderId="25" xfId="0" applyNumberFormat="1" applyFont="1" applyFill="1" applyBorder="1" applyAlignment="1">
      <alignment horizontal="center" vertical="center" wrapText="1"/>
    </xf>
    <xf numFmtId="4" fontId="28" fillId="29" borderId="15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/>
    </xf>
    <xf numFmtId="2" fontId="29" fillId="29" borderId="13" xfId="0" applyNumberFormat="1" applyFont="1" applyFill="1" applyBorder="1" applyAlignment="1">
      <alignment horizontal="center" vertical="center" wrapText="1"/>
    </xf>
    <xf numFmtId="2" fontId="29" fillId="29" borderId="25" xfId="0" applyNumberFormat="1" applyFont="1" applyFill="1" applyBorder="1" applyAlignment="1">
      <alignment horizontal="center" vertical="center" wrapText="1"/>
    </xf>
    <xf numFmtId="2" fontId="29" fillId="29" borderId="15" xfId="0" applyNumberFormat="1" applyFont="1" applyFill="1" applyBorder="1" applyAlignment="1">
      <alignment horizontal="center" vertical="center" wrapText="1"/>
    </xf>
    <xf numFmtId="0" fontId="36" fillId="0" borderId="0" xfId="0" applyFont="1" applyAlignment="1" applyProtection="1">
      <alignment horizontal="left"/>
      <protection locked="0"/>
    </xf>
    <xf numFmtId="0" fontId="27" fillId="26" borderId="0" xfId="0" applyFont="1" applyFill="1" applyBorder="1" applyAlignment="1" applyProtection="1">
      <alignment horizontal="left"/>
      <protection locked="0"/>
    </xf>
    <xf numFmtId="0" fontId="28" fillId="0" borderId="0" xfId="0" applyFont="1" applyAlignment="1" applyProtection="1">
      <alignment horizontal="center"/>
      <protection locked="0"/>
    </xf>
    <xf numFmtId="1" fontId="29" fillId="29" borderId="13" xfId="0" applyNumberFormat="1" applyFont="1" applyFill="1" applyBorder="1" applyAlignment="1">
      <alignment horizontal="center" vertical="center" wrapText="1"/>
    </xf>
    <xf numFmtId="1" fontId="29" fillId="29" borderId="25" xfId="0" applyNumberFormat="1" applyFont="1" applyFill="1" applyBorder="1" applyAlignment="1">
      <alignment horizontal="center" vertical="center" wrapText="1"/>
    </xf>
    <xf numFmtId="1" fontId="29" fillId="29" borderId="15" xfId="0" applyNumberFormat="1" applyFont="1" applyFill="1" applyBorder="1" applyAlignment="1">
      <alignment horizontal="center" vertical="center" wrapText="1"/>
    </xf>
    <xf numFmtId="0" fontId="29" fillId="29" borderId="13" xfId="0" applyNumberFormat="1" applyFont="1" applyFill="1" applyBorder="1" applyAlignment="1">
      <alignment horizontal="center" vertical="center" wrapText="1"/>
    </xf>
    <xf numFmtId="0" fontId="29" fillId="29" borderId="25" xfId="0" applyNumberFormat="1" applyFont="1" applyFill="1" applyBorder="1" applyAlignment="1">
      <alignment horizontal="center" vertical="center" wrapText="1"/>
    </xf>
    <xf numFmtId="0" fontId="29" fillId="29" borderId="15" xfId="0" applyNumberFormat="1" applyFont="1" applyFill="1" applyBorder="1" applyAlignment="1">
      <alignment horizontal="center" vertical="center" wrapText="1"/>
    </xf>
    <xf numFmtId="0" fontId="28" fillId="0" borderId="0" xfId="0" applyFont="1" applyFill="1" applyAlignment="1" applyProtection="1">
      <alignment horizontal="center"/>
      <protection locked="0"/>
    </xf>
    <xf numFmtId="0" fontId="27" fillId="26" borderId="0" xfId="0" applyFont="1" applyFill="1" applyBorder="1" applyAlignment="1" applyProtection="1">
      <alignment horizontal="left" vertical="top" wrapText="1"/>
      <protection locked="0"/>
    </xf>
    <xf numFmtId="0" fontId="27" fillId="26" borderId="21" xfId="0" applyFont="1" applyFill="1" applyBorder="1" applyAlignment="1" applyProtection="1">
      <alignment horizontal="left" vertical="top" wrapText="1"/>
      <protection locked="0"/>
    </xf>
    <xf numFmtId="0" fontId="28" fillId="25" borderId="0" xfId="0" applyFont="1" applyFill="1" applyBorder="1" applyAlignment="1" applyProtection="1">
      <alignment horizontal="left" vertical="top" wrapText="1"/>
      <protection locked="0"/>
    </xf>
    <xf numFmtId="0" fontId="28" fillId="25" borderId="0" xfId="0" applyFont="1" applyFill="1" applyBorder="1" applyAlignment="1" applyProtection="1">
      <alignment horizontal="left" wrapText="1"/>
      <protection locked="0"/>
    </xf>
    <xf numFmtId="0" fontId="28" fillId="25" borderId="0" xfId="0" applyFont="1" applyFill="1" applyBorder="1" applyAlignment="1" applyProtection="1">
      <alignment horizontal="left" vertical="top"/>
      <protection locked="0"/>
    </xf>
    <xf numFmtId="0" fontId="28" fillId="25" borderId="0" xfId="0" applyFont="1" applyFill="1" applyBorder="1" applyAlignment="1" applyProtection="1">
      <alignment horizontal="left" vertical="center" wrapText="1"/>
      <protection locked="0"/>
    </xf>
    <xf numFmtId="0" fontId="28" fillId="25" borderId="21" xfId="0" applyFont="1" applyFill="1" applyBorder="1" applyAlignment="1" applyProtection="1">
      <alignment horizontal="left" vertical="center" wrapText="1"/>
      <protection locked="0"/>
    </xf>
    <xf numFmtId="0" fontId="28" fillId="25" borderId="0" xfId="0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27" fillId="0" borderId="0" xfId="0" applyFont="1" applyAlignment="1" applyProtection="1">
      <alignment horizontal="left"/>
      <protection locked="0"/>
    </xf>
    <xf numFmtId="2" fontId="0" fillId="0" borderId="0" xfId="0" applyNumberFormat="1" applyAlignment="1">
      <alignment horizontal="center"/>
    </xf>
    <xf numFmtId="0" fontId="27" fillId="0" borderId="0" xfId="0" applyFont="1" applyAlignment="1" applyProtection="1">
      <alignment horizontal="left" vertical="top" wrapText="1"/>
      <protection locked="0"/>
    </xf>
    <xf numFmtId="0" fontId="28" fillId="25" borderId="0" xfId="0" applyFont="1" applyFill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center"/>
      <protection locked="0"/>
    </xf>
  </cellXfs>
  <cellStyles count="5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Obično_List4" xfId="51"/>
    <cellStyle name="Obično_List5" xfId="52"/>
    <cellStyle name="Percent" xfId="53"/>
    <cellStyle name="Povezana ćelija" xfId="54"/>
    <cellStyle name="Followed Hyperlink" xfId="55"/>
    <cellStyle name="Provjera ćelije" xfId="56"/>
    <cellStyle name="Tekst objašnjenja" xfId="57"/>
    <cellStyle name="Tekst upozorenja" xfId="58"/>
    <cellStyle name="Ukupni zbroj" xfId="59"/>
    <cellStyle name="Unos" xfId="60"/>
    <cellStyle name="Currency" xfId="61"/>
    <cellStyle name="Currency [0]" xfId="62"/>
    <cellStyle name="Comma" xfId="63"/>
    <cellStyle name="Comma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609"/>
  <sheetViews>
    <sheetView zoomScale="85" zoomScaleNormal="85" zoomScalePageLayoutView="0" workbookViewId="0" topLeftCell="A1">
      <selection activeCell="A8" sqref="A8:K8"/>
    </sheetView>
  </sheetViews>
  <sheetFormatPr defaultColWidth="9.140625" defaultRowHeight="12.75"/>
  <cols>
    <col min="1" max="2" width="2.8515625" style="0" customWidth="1"/>
    <col min="3" max="3" width="2.57421875" style="0" customWidth="1"/>
    <col min="4" max="5" width="3.00390625" style="0" customWidth="1"/>
    <col min="6" max="8" width="3.140625" style="0" customWidth="1"/>
    <col min="9" max="9" width="6.8515625" style="0" customWidth="1"/>
    <col min="10" max="10" width="5.28125" style="0" customWidth="1"/>
    <col min="11" max="11" width="61.8515625" style="0" customWidth="1"/>
    <col min="12" max="12" width="17.00390625" style="390" customWidth="1"/>
    <col min="13" max="13" width="18.00390625" style="15" customWidth="1"/>
    <col min="14" max="14" width="16.28125" style="390" hidden="1" customWidth="1"/>
    <col min="15" max="15" width="0.13671875" style="15" customWidth="1"/>
    <col min="16" max="16" width="0.13671875" style="390" hidden="1" customWidth="1"/>
    <col min="17" max="18" width="20.28125" style="390" customWidth="1"/>
    <col min="19" max="20" width="16.7109375" style="15" customWidth="1"/>
    <col min="21" max="21" width="17.421875" style="523" customWidth="1"/>
    <col min="22" max="54" width="8.28125" style="67" customWidth="1"/>
    <col min="55" max="68" width="9.140625" style="67" customWidth="1"/>
  </cols>
  <sheetData>
    <row r="1" spans="1:68" s="44" customFormat="1" ht="14.25">
      <c r="A1" s="553" t="s">
        <v>704</v>
      </c>
      <c r="B1" s="553"/>
      <c r="C1" s="553"/>
      <c r="D1" s="553"/>
      <c r="E1" s="553"/>
      <c r="F1" s="553"/>
      <c r="G1" s="553"/>
      <c r="H1" s="553"/>
      <c r="I1" s="553"/>
      <c r="J1" s="553"/>
      <c r="K1" s="553"/>
      <c r="L1" s="553"/>
      <c r="M1" s="553"/>
      <c r="N1" s="553"/>
      <c r="O1" s="553"/>
      <c r="P1" s="553"/>
      <c r="Q1" s="553"/>
      <c r="R1" s="553"/>
      <c r="S1" s="553"/>
      <c r="T1" s="75"/>
      <c r="U1" s="521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  <c r="BM1" s="75"/>
      <c r="BN1" s="75"/>
      <c r="BO1" s="75"/>
      <c r="BP1" s="75"/>
    </row>
    <row r="2" spans="1:68" s="44" customFormat="1" ht="20.25" customHeight="1">
      <c r="A2" s="553"/>
      <c r="B2" s="553"/>
      <c r="C2" s="553"/>
      <c r="D2" s="553"/>
      <c r="E2" s="553"/>
      <c r="F2" s="553"/>
      <c r="G2" s="553"/>
      <c r="H2" s="553"/>
      <c r="I2" s="553"/>
      <c r="J2" s="553"/>
      <c r="K2" s="553"/>
      <c r="L2" s="553"/>
      <c r="M2" s="553"/>
      <c r="N2" s="553"/>
      <c r="O2" s="553"/>
      <c r="P2" s="553"/>
      <c r="Q2" s="553"/>
      <c r="R2" s="553"/>
      <c r="S2" s="553"/>
      <c r="T2" s="75"/>
      <c r="U2" s="521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  <c r="BM2" s="75"/>
      <c r="BN2" s="75"/>
      <c r="BO2" s="75"/>
      <c r="BP2" s="75"/>
    </row>
    <row r="3" spans="1:68" s="66" customFormat="1" ht="15.75" customHeight="1">
      <c r="A3" s="587" t="s">
        <v>696</v>
      </c>
      <c r="B3" s="587"/>
      <c r="C3" s="587"/>
      <c r="D3" s="587"/>
      <c r="E3" s="587"/>
      <c r="F3" s="587"/>
      <c r="G3" s="587"/>
      <c r="H3" s="587"/>
      <c r="I3" s="587"/>
      <c r="J3" s="587"/>
      <c r="K3" s="587"/>
      <c r="L3" s="587"/>
      <c r="M3" s="587"/>
      <c r="N3" s="587"/>
      <c r="O3" s="587"/>
      <c r="P3" s="587"/>
      <c r="Q3" s="587"/>
      <c r="R3" s="587"/>
      <c r="S3" s="587"/>
      <c r="T3" s="241"/>
      <c r="U3" s="522"/>
      <c r="V3" s="241"/>
      <c r="W3" s="241"/>
      <c r="X3" s="241"/>
      <c r="Y3" s="241"/>
      <c r="Z3" s="241"/>
      <c r="AA3" s="241"/>
      <c r="AB3" s="241"/>
      <c r="AC3" s="241"/>
      <c r="AD3" s="241"/>
      <c r="AE3" s="241"/>
      <c r="AF3" s="241"/>
      <c r="AG3" s="241"/>
      <c r="AH3" s="241"/>
      <c r="AI3" s="241"/>
      <c r="AJ3" s="241"/>
      <c r="AK3" s="241"/>
      <c r="AL3" s="241"/>
      <c r="AM3" s="241"/>
      <c r="AN3" s="241"/>
      <c r="AO3" s="241"/>
      <c r="AP3" s="241"/>
      <c r="AQ3" s="241"/>
      <c r="AR3" s="241"/>
      <c r="AS3" s="241"/>
      <c r="AT3" s="241"/>
      <c r="AU3" s="241"/>
      <c r="AV3" s="241"/>
      <c r="AW3" s="241"/>
      <c r="AX3" s="241"/>
      <c r="AY3" s="241"/>
      <c r="AZ3" s="241"/>
      <c r="BA3" s="241"/>
      <c r="BB3" s="241"/>
      <c r="BC3" s="241"/>
      <c r="BD3" s="241"/>
      <c r="BE3" s="241"/>
      <c r="BF3" s="241"/>
      <c r="BG3" s="241"/>
      <c r="BH3" s="241"/>
      <c r="BI3" s="241"/>
      <c r="BJ3" s="241"/>
      <c r="BK3" s="241"/>
      <c r="BL3" s="241"/>
      <c r="BM3" s="241"/>
      <c r="BN3" s="241"/>
      <c r="BO3" s="241"/>
      <c r="BP3" s="241"/>
    </row>
    <row r="4" spans="1:21" s="67" customFormat="1" ht="6" customHeight="1">
      <c r="A4" s="168"/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391"/>
      <c r="M4" s="169"/>
      <c r="N4" s="391"/>
      <c r="O4" s="169"/>
      <c r="P4" s="391"/>
      <c r="Q4" s="391"/>
      <c r="R4" s="391"/>
      <c r="S4" s="169"/>
      <c r="T4" s="169"/>
      <c r="U4" s="523"/>
    </row>
    <row r="5" spans="1:21" s="67" customFormat="1" ht="15.75">
      <c r="A5" s="593" t="s">
        <v>409</v>
      </c>
      <c r="B5" s="593"/>
      <c r="C5" s="593"/>
      <c r="D5" s="593"/>
      <c r="E5" s="593"/>
      <c r="F5" s="593"/>
      <c r="G5" s="593"/>
      <c r="H5" s="593"/>
      <c r="I5" s="593"/>
      <c r="J5" s="593"/>
      <c r="K5" s="593"/>
      <c r="L5" s="593"/>
      <c r="M5" s="593"/>
      <c r="N5" s="593"/>
      <c r="P5" s="392"/>
      <c r="Q5" s="392"/>
      <c r="R5" s="392"/>
      <c r="U5" s="523"/>
    </row>
    <row r="6" spans="1:21" s="175" customFormat="1" ht="19.5" customHeight="1">
      <c r="A6" s="545" t="s">
        <v>697</v>
      </c>
      <c r="B6" s="545"/>
      <c r="C6" s="545"/>
      <c r="D6" s="545"/>
      <c r="E6" s="545"/>
      <c r="F6" s="545"/>
      <c r="G6" s="545"/>
      <c r="H6" s="545"/>
      <c r="I6" s="545"/>
      <c r="J6" s="545"/>
      <c r="K6" s="545"/>
      <c r="L6" s="545"/>
      <c r="M6" s="545"/>
      <c r="N6" s="393"/>
      <c r="P6" s="393"/>
      <c r="Q6" s="393"/>
      <c r="R6" s="393"/>
      <c r="U6" s="524"/>
    </row>
    <row r="7" spans="1:21" s="175" customFormat="1" ht="15">
      <c r="A7" s="253"/>
      <c r="B7" s="253"/>
      <c r="C7" s="253"/>
      <c r="D7" s="253"/>
      <c r="E7" s="253"/>
      <c r="F7" s="253"/>
      <c r="G7" s="253"/>
      <c r="H7" s="253"/>
      <c r="I7" s="253"/>
      <c r="J7" s="253"/>
      <c r="K7" s="253"/>
      <c r="L7" s="394"/>
      <c r="M7" s="324"/>
      <c r="N7" s="394"/>
      <c r="O7" s="324"/>
      <c r="P7" s="394"/>
      <c r="Q7" s="394"/>
      <c r="R7" s="394"/>
      <c r="S7" s="324"/>
      <c r="T7" s="324"/>
      <c r="U7" s="524"/>
    </row>
    <row r="8" spans="1:21" s="175" customFormat="1" ht="22.5" customHeight="1">
      <c r="A8" s="555" t="s">
        <v>484</v>
      </c>
      <c r="B8" s="555"/>
      <c r="C8" s="555"/>
      <c r="D8" s="555"/>
      <c r="E8" s="555"/>
      <c r="F8" s="555"/>
      <c r="G8" s="555"/>
      <c r="H8" s="555"/>
      <c r="I8" s="555"/>
      <c r="J8" s="555"/>
      <c r="K8" s="555"/>
      <c r="L8" s="393"/>
      <c r="N8" s="393"/>
      <c r="P8" s="393"/>
      <c r="Q8" s="393"/>
      <c r="R8" s="393"/>
      <c r="U8" s="524"/>
    </row>
    <row r="9" spans="1:68" s="2" customFormat="1" ht="5.25" customHeight="1" hidden="1">
      <c r="A9" s="69"/>
      <c r="B9" s="69"/>
      <c r="C9" s="69"/>
      <c r="D9" s="69"/>
      <c r="E9" s="69"/>
      <c r="F9" s="69"/>
      <c r="G9" s="69"/>
      <c r="H9" s="69"/>
      <c r="I9" s="69"/>
      <c r="J9" s="69"/>
      <c r="K9" s="69"/>
      <c r="L9" s="395"/>
      <c r="M9" s="69"/>
      <c r="N9" s="395"/>
      <c r="O9" s="69"/>
      <c r="P9" s="395"/>
      <c r="Q9" s="395"/>
      <c r="R9" s="395"/>
      <c r="S9" s="69"/>
      <c r="T9" s="69"/>
      <c r="U9" s="525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08"/>
      <c r="AG9" s="108"/>
      <c r="AH9" s="108"/>
      <c r="AI9" s="108"/>
      <c r="AJ9" s="108"/>
      <c r="AK9" s="108"/>
      <c r="AL9" s="108"/>
      <c r="AM9" s="108"/>
      <c r="AN9" s="108"/>
      <c r="AO9" s="108"/>
      <c r="AP9" s="108"/>
      <c r="AQ9" s="108"/>
      <c r="AR9" s="108"/>
      <c r="AS9" s="108"/>
      <c r="AT9" s="108"/>
      <c r="AU9" s="108"/>
      <c r="AV9" s="108"/>
      <c r="AW9" s="108"/>
      <c r="AX9" s="108"/>
      <c r="AY9" s="108"/>
      <c r="AZ9" s="108"/>
      <c r="BA9" s="108"/>
      <c r="BB9" s="108"/>
      <c r="BC9" s="108"/>
      <c r="BD9" s="108"/>
      <c r="BE9" s="108"/>
      <c r="BF9" s="108"/>
      <c r="BG9" s="108"/>
      <c r="BH9" s="108"/>
      <c r="BI9" s="108"/>
      <c r="BJ9" s="108"/>
      <c r="BK9" s="108"/>
      <c r="BL9" s="108"/>
      <c r="BM9" s="108"/>
      <c r="BN9" s="108"/>
      <c r="BO9" s="108"/>
      <c r="BP9" s="108"/>
    </row>
    <row r="10" spans="1:20" ht="2.25" customHeight="1" hidden="1">
      <c r="A10" s="170"/>
      <c r="B10" s="142"/>
      <c r="C10" s="142"/>
      <c r="D10" s="142"/>
      <c r="E10" s="142"/>
      <c r="F10" s="142"/>
      <c r="G10" s="142"/>
      <c r="H10" s="142"/>
      <c r="I10" s="142"/>
      <c r="J10" s="142"/>
      <c r="K10" s="142"/>
      <c r="L10" s="557" t="s">
        <v>688</v>
      </c>
      <c r="M10" s="325"/>
      <c r="N10" s="594" t="s">
        <v>609</v>
      </c>
      <c r="O10" s="325"/>
      <c r="P10" s="512" t="s">
        <v>667</v>
      </c>
      <c r="Q10" s="519"/>
      <c r="R10" s="531"/>
      <c r="S10" s="325"/>
      <c r="T10" s="325"/>
    </row>
    <row r="11" spans="1:20" ht="73.5" customHeight="1">
      <c r="A11" s="170"/>
      <c r="B11" s="142"/>
      <c r="C11" s="142"/>
      <c r="D11" s="142"/>
      <c r="E11" s="142"/>
      <c r="F11" s="142"/>
      <c r="G11" s="142"/>
      <c r="H11" s="142"/>
      <c r="I11" s="142"/>
      <c r="J11" s="142"/>
      <c r="K11" s="142"/>
      <c r="L11" s="557"/>
      <c r="M11" s="501" t="s">
        <v>654</v>
      </c>
      <c r="N11" s="595"/>
      <c r="O11" s="501" t="s">
        <v>681</v>
      </c>
      <c r="P11" s="512" t="s">
        <v>667</v>
      </c>
      <c r="Q11" s="501" t="s">
        <v>680</v>
      </c>
      <c r="R11" s="512" t="s">
        <v>685</v>
      </c>
      <c r="S11" s="501" t="s">
        <v>699</v>
      </c>
      <c r="T11" s="501" t="s">
        <v>700</v>
      </c>
    </row>
    <row r="12" spans="1:20" ht="0.75" customHeight="1">
      <c r="A12" s="554"/>
      <c r="B12" s="554"/>
      <c r="C12" s="554"/>
      <c r="D12" s="554"/>
      <c r="E12" s="554"/>
      <c r="F12" s="554"/>
      <c r="G12" s="554"/>
      <c r="H12" s="554"/>
      <c r="I12" s="142"/>
      <c r="J12" s="142"/>
      <c r="K12" s="142"/>
      <c r="L12" s="557"/>
      <c r="M12" s="326"/>
      <c r="N12" s="596"/>
      <c r="O12" s="326"/>
      <c r="P12" s="512"/>
      <c r="Q12" s="520"/>
      <c r="R12" s="532"/>
      <c r="S12" s="326"/>
      <c r="T12" s="326"/>
    </row>
    <row r="13" spans="1:20" ht="2.25" customHeight="1">
      <c r="A13" s="554"/>
      <c r="B13" s="554"/>
      <c r="C13" s="554"/>
      <c r="D13" s="554"/>
      <c r="E13" s="554"/>
      <c r="F13" s="554"/>
      <c r="G13" s="554"/>
      <c r="H13" s="554"/>
      <c r="I13" s="142"/>
      <c r="J13" s="142"/>
      <c r="K13" s="142"/>
      <c r="L13" s="396"/>
      <c r="M13" s="312"/>
      <c r="N13" s="396"/>
      <c r="O13" s="312"/>
      <c r="P13" s="396"/>
      <c r="Q13" s="530"/>
      <c r="R13" s="530"/>
      <c r="S13" s="388"/>
      <c r="T13" s="388"/>
    </row>
    <row r="14" spans="1:68" s="149" customFormat="1" ht="15.75" customHeight="1">
      <c r="A14" s="247">
        <v>1</v>
      </c>
      <c r="B14" s="248">
        <v>2</v>
      </c>
      <c r="C14" s="248">
        <v>3</v>
      </c>
      <c r="D14" s="248">
        <v>4</v>
      </c>
      <c r="E14" s="248">
        <v>5</v>
      </c>
      <c r="F14" s="248">
        <v>6</v>
      </c>
      <c r="G14" s="248">
        <v>7</v>
      </c>
      <c r="H14" s="248"/>
      <c r="I14" s="249" t="s">
        <v>640</v>
      </c>
      <c r="J14" s="249"/>
      <c r="K14" s="249"/>
      <c r="L14" s="313">
        <v>1</v>
      </c>
      <c r="M14" s="313">
        <v>2</v>
      </c>
      <c r="N14" s="397"/>
      <c r="O14" s="313">
        <v>3</v>
      </c>
      <c r="P14" s="313">
        <v>4</v>
      </c>
      <c r="Q14" s="313">
        <v>3</v>
      </c>
      <c r="R14" s="313">
        <v>4</v>
      </c>
      <c r="S14" s="313">
        <v>5</v>
      </c>
      <c r="T14" s="313">
        <v>6</v>
      </c>
      <c r="U14" s="523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7"/>
      <c r="BF14" s="67"/>
      <c r="BG14" s="67"/>
      <c r="BH14" s="67"/>
      <c r="BI14" s="67"/>
      <c r="BJ14" s="67"/>
      <c r="BK14" s="67"/>
      <c r="BL14" s="67"/>
      <c r="BM14" s="67"/>
      <c r="BN14" s="67"/>
      <c r="BO14" s="67"/>
      <c r="BP14" s="67"/>
    </row>
    <row r="15" spans="1:68" s="1" customFormat="1" ht="15">
      <c r="A15" s="4"/>
      <c r="B15" s="4"/>
      <c r="C15" s="4"/>
      <c r="D15" s="4"/>
      <c r="E15" s="4"/>
      <c r="F15" s="4"/>
      <c r="G15" s="73"/>
      <c r="H15" s="4"/>
      <c r="I15" s="171" t="s">
        <v>299</v>
      </c>
      <c r="J15" s="172"/>
      <c r="K15" s="173"/>
      <c r="L15" s="490">
        <f aca="true" t="shared" si="0" ref="L15:R15">L16+L17</f>
        <v>1314496.6487490875</v>
      </c>
      <c r="M15" s="490">
        <f t="shared" si="0"/>
        <v>2091293.7518680738</v>
      </c>
      <c r="N15" s="481">
        <f t="shared" si="0"/>
        <v>15244453.02</v>
      </c>
      <c r="O15" s="481">
        <f t="shared" si="0"/>
        <v>2135195.110629107</v>
      </c>
      <c r="P15" s="481">
        <f t="shared" si="0"/>
        <v>786516.52</v>
      </c>
      <c r="Q15" s="481">
        <f t="shared" si="0"/>
        <v>1756765.16</v>
      </c>
      <c r="R15" s="481">
        <f t="shared" si="0"/>
        <v>1691927.74</v>
      </c>
      <c r="S15" s="481">
        <f>R15/L15*100</f>
        <v>128.71297478088565</v>
      </c>
      <c r="T15" s="481">
        <f>R15/Q15*100</f>
        <v>96.3092722080167</v>
      </c>
      <c r="U15" s="523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7"/>
      <c r="AV15" s="67"/>
      <c r="AW15" s="67"/>
      <c r="AX15" s="67"/>
      <c r="AY15" s="67"/>
      <c r="AZ15" s="67"/>
      <c r="BA15" s="67"/>
      <c r="BB15" s="67"/>
      <c r="BC15" s="67"/>
      <c r="BD15" s="67"/>
      <c r="BE15" s="67"/>
      <c r="BF15" s="67"/>
      <c r="BG15" s="67"/>
      <c r="BH15" s="67"/>
      <c r="BI15" s="67"/>
      <c r="BJ15" s="67"/>
      <c r="BK15" s="67"/>
      <c r="BL15" s="67"/>
      <c r="BM15" s="67"/>
      <c r="BN15" s="67"/>
      <c r="BO15" s="67"/>
      <c r="BP15" s="67"/>
    </row>
    <row r="16" spans="1:20" ht="15">
      <c r="A16" s="4">
        <v>1</v>
      </c>
      <c r="B16" s="4"/>
      <c r="C16" s="4">
        <v>3</v>
      </c>
      <c r="D16" s="4">
        <v>4</v>
      </c>
      <c r="E16" s="4">
        <v>5</v>
      </c>
      <c r="F16" s="4">
        <v>6</v>
      </c>
      <c r="G16" s="73"/>
      <c r="H16" s="3"/>
      <c r="I16" s="5" t="s">
        <v>386</v>
      </c>
      <c r="J16" s="6"/>
      <c r="K16" s="7"/>
      <c r="L16" s="490">
        <f aca="true" t="shared" si="1" ref="L16:R16">L51</f>
        <v>1312467.7151768531</v>
      </c>
      <c r="M16" s="490">
        <f t="shared" si="1"/>
        <v>2062428.2213086472</v>
      </c>
      <c r="N16" s="481">
        <f t="shared" si="1"/>
        <v>15048346.68</v>
      </c>
      <c r="O16" s="481">
        <f t="shared" si="1"/>
        <v>2106329.581951026</v>
      </c>
      <c r="P16" s="481">
        <f t="shared" si="1"/>
        <v>786516.52</v>
      </c>
      <c r="Q16" s="481">
        <f t="shared" si="1"/>
        <v>1739705.16</v>
      </c>
      <c r="R16" s="481">
        <f t="shared" si="1"/>
        <v>1691567.74</v>
      </c>
      <c r="S16" s="481">
        <f aca="true" t="shared" si="2" ref="S16:S21">R16/L16*100</f>
        <v>128.88452191542584</v>
      </c>
      <c r="T16" s="481">
        <f aca="true" t="shared" si="3" ref="T16:T21">R16/Q16*100</f>
        <v>97.23301274797622</v>
      </c>
    </row>
    <row r="17" spans="1:20" ht="15">
      <c r="A17" s="4"/>
      <c r="B17" s="4"/>
      <c r="C17" s="4"/>
      <c r="D17" s="4"/>
      <c r="E17" s="4"/>
      <c r="F17" s="4">
        <v>7</v>
      </c>
      <c r="G17" s="73"/>
      <c r="H17" s="3"/>
      <c r="I17" s="5" t="s">
        <v>387</v>
      </c>
      <c r="J17" s="5"/>
      <c r="K17" s="5"/>
      <c r="L17" s="490">
        <f aca="true" t="shared" si="4" ref="L17:R17">L89</f>
        <v>2028.9335722343883</v>
      </c>
      <c r="M17" s="490">
        <f t="shared" si="4"/>
        <v>28865.530559426636</v>
      </c>
      <c r="N17" s="481">
        <f t="shared" si="4"/>
        <v>196106.34</v>
      </c>
      <c r="O17" s="481">
        <f t="shared" si="4"/>
        <v>28865.528678080827</v>
      </c>
      <c r="P17" s="481">
        <f t="shared" si="4"/>
        <v>0</v>
      </c>
      <c r="Q17" s="481">
        <f t="shared" si="4"/>
        <v>17060</v>
      </c>
      <c r="R17" s="481">
        <f t="shared" si="4"/>
        <v>360</v>
      </c>
      <c r="S17" s="481">
        <f t="shared" si="2"/>
        <v>17.743311310263625</v>
      </c>
      <c r="T17" s="481">
        <f t="shared" si="3"/>
        <v>2.1101992966002343</v>
      </c>
    </row>
    <row r="18" spans="1:20" ht="15">
      <c r="A18" s="4">
        <v>1</v>
      </c>
      <c r="B18" s="4"/>
      <c r="C18" s="4">
        <v>3</v>
      </c>
      <c r="D18" s="4">
        <v>4</v>
      </c>
      <c r="E18" s="4">
        <v>5</v>
      </c>
      <c r="F18" s="4">
        <v>6</v>
      </c>
      <c r="G18" s="73"/>
      <c r="H18" s="3"/>
      <c r="I18" s="5" t="s">
        <v>415</v>
      </c>
      <c r="J18" s="5"/>
      <c r="K18" s="5"/>
      <c r="L18" s="490">
        <f aca="true" t="shared" si="5" ref="L18:R18">L98</f>
        <v>1009944.1203331343</v>
      </c>
      <c r="M18" s="490">
        <f t="shared" si="5"/>
        <v>1162395.677452037</v>
      </c>
      <c r="N18" s="481">
        <f t="shared" si="5"/>
        <v>8360348.335679874</v>
      </c>
      <c r="O18" s="481">
        <f t="shared" si="5"/>
        <v>1277421.6617545956</v>
      </c>
      <c r="P18" s="481">
        <f t="shared" si="5"/>
        <v>542892.7399999999</v>
      </c>
      <c r="Q18" s="481">
        <f t="shared" si="5"/>
        <v>1225222.66</v>
      </c>
      <c r="R18" s="481">
        <f t="shared" si="5"/>
        <v>1211458.46</v>
      </c>
      <c r="S18" s="481">
        <f t="shared" si="2"/>
        <v>119.95301874725457</v>
      </c>
      <c r="T18" s="481">
        <f t="shared" si="3"/>
        <v>98.87659603030848</v>
      </c>
    </row>
    <row r="19" spans="1:20" ht="15">
      <c r="A19" s="242">
        <v>1</v>
      </c>
      <c r="B19" s="242"/>
      <c r="C19" s="242">
        <v>3</v>
      </c>
      <c r="D19" s="242">
        <v>4</v>
      </c>
      <c r="E19" s="242">
        <v>5</v>
      </c>
      <c r="F19" s="242">
        <v>6</v>
      </c>
      <c r="G19" s="500">
        <v>7</v>
      </c>
      <c r="H19" s="9"/>
      <c r="I19" s="5" t="s">
        <v>388</v>
      </c>
      <c r="J19" s="5"/>
      <c r="K19" s="5"/>
      <c r="L19" s="490">
        <f aca="true" t="shared" si="6" ref="L19:R19">L133</f>
        <v>255970.40281372351</v>
      </c>
      <c r="M19" s="490">
        <f t="shared" si="6"/>
        <v>716036.0746651472</v>
      </c>
      <c r="N19" s="481">
        <f t="shared" si="6"/>
        <v>4633699.883365851</v>
      </c>
      <c r="O19" s="481">
        <f t="shared" si="6"/>
        <v>746673.8173070542</v>
      </c>
      <c r="P19" s="481">
        <f t="shared" si="6"/>
        <v>143938.55</v>
      </c>
      <c r="Q19" s="481">
        <f t="shared" si="6"/>
        <v>385547.41</v>
      </c>
      <c r="R19" s="481">
        <f t="shared" si="6"/>
        <v>324428.66</v>
      </c>
      <c r="S19" s="481">
        <f t="shared" si="2"/>
        <v>126.74459876366852</v>
      </c>
      <c r="T19" s="481">
        <f t="shared" si="3"/>
        <v>84.1475397279935</v>
      </c>
    </row>
    <row r="20" spans="1:20" ht="15">
      <c r="A20" s="142"/>
      <c r="B20" s="142"/>
      <c r="C20" s="142"/>
      <c r="D20" s="142"/>
      <c r="E20" s="142"/>
      <c r="F20" s="142"/>
      <c r="G20" s="498"/>
      <c r="H20" s="142"/>
      <c r="I20" s="148" t="s">
        <v>389</v>
      </c>
      <c r="J20" s="166"/>
      <c r="K20" s="167"/>
      <c r="L20" s="490">
        <f aca="true" t="shared" si="7" ref="L20:R20">L18+L19</f>
        <v>1265914.5231468577</v>
      </c>
      <c r="M20" s="490">
        <f t="shared" si="7"/>
        <v>1878431.7521171845</v>
      </c>
      <c r="N20" s="481">
        <f t="shared" si="7"/>
        <v>12994048.219045725</v>
      </c>
      <c r="O20" s="481">
        <f t="shared" si="7"/>
        <v>2024095.4790616496</v>
      </c>
      <c r="P20" s="481">
        <f t="shared" si="7"/>
        <v>686831.2899999998</v>
      </c>
      <c r="Q20" s="481">
        <f t="shared" si="7"/>
        <v>1610770.0699999998</v>
      </c>
      <c r="R20" s="481">
        <f t="shared" si="7"/>
        <v>1535887.1199999999</v>
      </c>
      <c r="S20" s="481">
        <f t="shared" si="2"/>
        <v>121.32628956511489</v>
      </c>
      <c r="T20" s="481">
        <f t="shared" si="3"/>
        <v>95.35110867809954</v>
      </c>
    </row>
    <row r="21" spans="1:68" s="145" customFormat="1" ht="21" customHeight="1">
      <c r="A21" s="142"/>
      <c r="B21" s="142"/>
      <c r="C21" s="142"/>
      <c r="D21" s="142"/>
      <c r="E21" s="142"/>
      <c r="F21" s="142"/>
      <c r="G21" s="498"/>
      <c r="H21" s="142"/>
      <c r="I21" s="499" t="s">
        <v>390</v>
      </c>
      <c r="J21" s="119"/>
      <c r="K21" s="119"/>
      <c r="L21" s="484">
        <f aca="true" t="shared" si="8" ref="L21:R21">L15-L20</f>
        <v>48582.12560222973</v>
      </c>
      <c r="M21" s="484">
        <f t="shared" si="8"/>
        <v>212861.99975088937</v>
      </c>
      <c r="N21" s="478">
        <f t="shared" si="8"/>
        <v>2250404.800954275</v>
      </c>
      <c r="O21" s="478">
        <f t="shared" si="8"/>
        <v>111099.63156745723</v>
      </c>
      <c r="P21" s="478">
        <f t="shared" si="8"/>
        <v>99685.23000000021</v>
      </c>
      <c r="Q21" s="478">
        <f t="shared" si="8"/>
        <v>145995.09000000008</v>
      </c>
      <c r="R21" s="478">
        <f t="shared" si="8"/>
        <v>156040.6200000001</v>
      </c>
      <c r="S21" s="478">
        <f t="shared" si="2"/>
        <v>321.1893635070559</v>
      </c>
      <c r="T21" s="478">
        <f t="shared" si="3"/>
        <v>106.88073139993956</v>
      </c>
      <c r="U21" s="523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7"/>
      <c r="AV21" s="67"/>
      <c r="AW21" s="67"/>
      <c r="AX21" s="67"/>
      <c r="AY21" s="67"/>
      <c r="AZ21" s="67"/>
      <c r="BA21" s="67"/>
      <c r="BB21" s="67"/>
      <c r="BC21" s="67"/>
      <c r="BD21" s="67"/>
      <c r="BE21" s="67"/>
      <c r="BF21" s="67"/>
      <c r="BG21" s="67"/>
      <c r="BH21" s="67"/>
      <c r="BI21" s="67"/>
      <c r="BJ21" s="67"/>
      <c r="BK21" s="67"/>
      <c r="BL21" s="67"/>
      <c r="BM21" s="67"/>
      <c r="BN21" s="67"/>
      <c r="BO21" s="67"/>
      <c r="BP21" s="67"/>
    </row>
    <row r="22" spans="1:68" s="243" customFormat="1" ht="12" customHeight="1">
      <c r="A22" s="142"/>
      <c r="B22" s="142"/>
      <c r="C22" s="142"/>
      <c r="D22" s="142"/>
      <c r="E22" s="142"/>
      <c r="F22" s="142"/>
      <c r="G22" s="188"/>
      <c r="H22" s="142"/>
      <c r="I22" s="9"/>
      <c r="J22" s="9"/>
      <c r="K22" s="9"/>
      <c r="L22" s="491"/>
      <c r="M22" s="492"/>
      <c r="N22" s="485"/>
      <c r="O22" s="486"/>
      <c r="P22" s="485"/>
      <c r="Q22" s="485"/>
      <c r="R22" s="485"/>
      <c r="S22" s="486"/>
      <c r="T22" s="486"/>
      <c r="U22" s="526"/>
      <c r="V22" s="174"/>
      <c r="W22" s="174"/>
      <c r="X22" s="174"/>
      <c r="Y22" s="174"/>
      <c r="Z22" s="174"/>
      <c r="AA22" s="174"/>
      <c r="AB22" s="174"/>
      <c r="AC22" s="174"/>
      <c r="AD22" s="174"/>
      <c r="AE22" s="174"/>
      <c r="AF22" s="174"/>
      <c r="AG22" s="174"/>
      <c r="AH22" s="174"/>
      <c r="AI22" s="174"/>
      <c r="AJ22" s="174"/>
      <c r="AK22" s="174"/>
      <c r="AL22" s="174"/>
      <c r="AM22" s="174"/>
      <c r="AN22" s="174"/>
      <c r="AO22" s="174"/>
      <c r="AP22" s="174"/>
      <c r="AQ22" s="174"/>
      <c r="AR22" s="174"/>
      <c r="AS22" s="174"/>
      <c r="AT22" s="174"/>
      <c r="AU22" s="174"/>
      <c r="AV22" s="174"/>
      <c r="AW22" s="174"/>
      <c r="AX22" s="174"/>
      <c r="AY22" s="174"/>
      <c r="AZ22" s="174"/>
      <c r="BA22" s="174"/>
      <c r="BB22" s="174"/>
      <c r="BC22" s="174"/>
      <c r="BD22" s="174"/>
      <c r="BE22" s="174"/>
      <c r="BF22" s="174"/>
      <c r="BG22" s="174"/>
      <c r="BH22" s="174"/>
      <c r="BI22" s="174"/>
      <c r="BJ22" s="174"/>
      <c r="BK22" s="174"/>
      <c r="BL22" s="174"/>
      <c r="BM22" s="174"/>
      <c r="BN22" s="174"/>
      <c r="BO22" s="174"/>
      <c r="BP22" s="174"/>
    </row>
    <row r="23" spans="1:68" s="149" customFormat="1" ht="15">
      <c r="A23" s="68"/>
      <c r="B23" s="68"/>
      <c r="C23" s="68"/>
      <c r="D23" s="68"/>
      <c r="E23" s="68"/>
      <c r="F23" s="68"/>
      <c r="G23" s="246"/>
      <c r="H23" s="68"/>
      <c r="I23" s="249" t="s">
        <v>641</v>
      </c>
      <c r="J23" s="249"/>
      <c r="K23" s="249"/>
      <c r="L23" s="493"/>
      <c r="M23" s="494"/>
      <c r="N23" s="483"/>
      <c r="O23" s="487"/>
      <c r="P23" s="483"/>
      <c r="Q23" s="483"/>
      <c r="R23" s="483"/>
      <c r="S23" s="487"/>
      <c r="T23" s="487"/>
      <c r="U23" s="523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7"/>
      <c r="AV23" s="67"/>
      <c r="AW23" s="67"/>
      <c r="AX23" s="67"/>
      <c r="AY23" s="67"/>
      <c r="AZ23" s="67"/>
      <c r="BA23" s="67"/>
      <c r="BB23" s="67"/>
      <c r="BC23" s="67"/>
      <c r="BD23" s="67"/>
      <c r="BE23" s="67"/>
      <c r="BF23" s="67"/>
      <c r="BG23" s="67"/>
      <c r="BH23" s="67"/>
      <c r="BI23" s="67"/>
      <c r="BJ23" s="67"/>
      <c r="BK23" s="67"/>
      <c r="BL23" s="67"/>
      <c r="BM23" s="67"/>
      <c r="BN23" s="67"/>
      <c r="BO23" s="67"/>
      <c r="BP23" s="67"/>
    </row>
    <row r="24" spans="1:20" ht="36" customHeight="1">
      <c r="A24" s="68"/>
      <c r="B24" s="68"/>
      <c r="C24" s="68"/>
      <c r="D24" s="68"/>
      <c r="E24" s="68"/>
      <c r="F24" s="68"/>
      <c r="G24" s="246"/>
      <c r="H24" s="68">
        <v>8</v>
      </c>
      <c r="I24" s="586" t="s">
        <v>416</v>
      </c>
      <c r="J24" s="586"/>
      <c r="K24" s="586"/>
      <c r="L24" s="490">
        <f aca="true" t="shared" si="9" ref="L24:R24">L147</f>
        <v>0</v>
      </c>
      <c r="M24" s="490">
        <f t="shared" si="9"/>
        <v>0</v>
      </c>
      <c r="N24" s="481">
        <f t="shared" si="9"/>
        <v>0</v>
      </c>
      <c r="O24" s="481">
        <f t="shared" si="9"/>
        <v>0</v>
      </c>
      <c r="P24" s="481">
        <f t="shared" si="9"/>
        <v>0</v>
      </c>
      <c r="Q24" s="481">
        <f t="shared" si="9"/>
        <v>0</v>
      </c>
      <c r="R24" s="481">
        <f t="shared" si="9"/>
        <v>0</v>
      </c>
      <c r="S24" s="481" t="e">
        <f>R24/L24*100</f>
        <v>#DIV/0!</v>
      </c>
      <c r="T24" s="481" t="e">
        <f>R24/Q24*100</f>
        <v>#DIV/0!</v>
      </c>
    </row>
    <row r="25" spans="1:20" ht="15">
      <c r="A25" s="68"/>
      <c r="B25" s="68"/>
      <c r="C25" s="68"/>
      <c r="D25" s="68"/>
      <c r="E25" s="68"/>
      <c r="F25" s="68"/>
      <c r="G25" s="246"/>
      <c r="H25" s="68">
        <v>8</v>
      </c>
      <c r="I25" s="5" t="s">
        <v>417</v>
      </c>
      <c r="J25" s="5"/>
      <c r="K25" s="5"/>
      <c r="L25" s="490">
        <f aca="true" t="shared" si="10" ref="L25:R25">L150</f>
        <v>407085.9380184485</v>
      </c>
      <c r="M25" s="490">
        <f t="shared" si="10"/>
        <v>145995.08925608866</v>
      </c>
      <c r="N25" s="481">
        <f t="shared" si="10"/>
        <v>145995.08925608866</v>
      </c>
      <c r="O25" s="481">
        <f t="shared" si="10"/>
        <v>145995.08925608866</v>
      </c>
      <c r="P25" s="481">
        <f t="shared" si="10"/>
        <v>145995.09</v>
      </c>
      <c r="Q25" s="481">
        <f t="shared" si="10"/>
        <v>145995.09</v>
      </c>
      <c r="R25" s="481">
        <f t="shared" si="10"/>
        <v>145995.09</v>
      </c>
      <c r="S25" s="481">
        <f>R25/L25*100</f>
        <v>35.863456917881486</v>
      </c>
      <c r="T25" s="481">
        <f>R25/Q25*100</f>
        <v>100</v>
      </c>
    </row>
    <row r="26" spans="1:68" s="145" customFormat="1" ht="18.75" customHeight="1">
      <c r="A26" s="68"/>
      <c r="B26" s="68"/>
      <c r="C26" s="68"/>
      <c r="D26" s="68"/>
      <c r="E26" s="68"/>
      <c r="F26" s="68"/>
      <c r="G26" s="246"/>
      <c r="H26" s="68"/>
      <c r="I26" s="119" t="s">
        <v>391</v>
      </c>
      <c r="J26" s="119"/>
      <c r="K26" s="119"/>
      <c r="L26" s="484">
        <f aca="true" t="shared" si="11" ref="L26:R26">L25</f>
        <v>407085.9380184485</v>
      </c>
      <c r="M26" s="484">
        <f t="shared" si="11"/>
        <v>145995.08925608866</v>
      </c>
      <c r="N26" s="478">
        <f t="shared" si="11"/>
        <v>145995.08925608866</v>
      </c>
      <c r="O26" s="478">
        <f t="shared" si="11"/>
        <v>145995.08925608866</v>
      </c>
      <c r="P26" s="478">
        <f t="shared" si="11"/>
        <v>145995.09</v>
      </c>
      <c r="Q26" s="478">
        <f t="shared" si="11"/>
        <v>145995.09</v>
      </c>
      <c r="R26" s="478">
        <f t="shared" si="11"/>
        <v>145995.09</v>
      </c>
      <c r="S26" s="478">
        <f>R26/L26*100</f>
        <v>35.863456917881486</v>
      </c>
      <c r="T26" s="478">
        <f>R26/Q26*100</f>
        <v>100</v>
      </c>
      <c r="U26" s="523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7"/>
      <c r="AV26" s="67"/>
      <c r="AW26" s="67"/>
      <c r="AX26" s="67"/>
      <c r="AY26" s="67"/>
      <c r="AZ26" s="67"/>
      <c r="BA26" s="67"/>
      <c r="BB26" s="67"/>
      <c r="BC26" s="67"/>
      <c r="BD26" s="67"/>
      <c r="BE26" s="67"/>
      <c r="BF26" s="67"/>
      <c r="BG26" s="67"/>
      <c r="BH26" s="67"/>
      <c r="BI26" s="67"/>
      <c r="BJ26" s="67"/>
      <c r="BK26" s="67"/>
      <c r="BL26" s="67"/>
      <c r="BM26" s="67"/>
      <c r="BN26" s="67"/>
      <c r="BO26" s="67"/>
      <c r="BP26" s="67"/>
    </row>
    <row r="27" spans="1:68" s="243" customFormat="1" ht="12" customHeight="1">
      <c r="A27" s="142"/>
      <c r="B27" s="142"/>
      <c r="C27" s="142"/>
      <c r="D27" s="142"/>
      <c r="E27" s="142"/>
      <c r="F27" s="142"/>
      <c r="G27" s="188"/>
      <c r="H27" s="142"/>
      <c r="I27" s="9"/>
      <c r="J27" s="9"/>
      <c r="K27" s="9"/>
      <c r="L27" s="491"/>
      <c r="M27" s="492"/>
      <c r="N27" s="485"/>
      <c r="O27" s="486"/>
      <c r="P27" s="485"/>
      <c r="Q27" s="485"/>
      <c r="R27" s="485"/>
      <c r="S27" s="486"/>
      <c r="T27" s="486"/>
      <c r="U27" s="526"/>
      <c r="V27" s="174"/>
      <c r="W27" s="174"/>
      <c r="X27" s="174"/>
      <c r="Y27" s="174"/>
      <c r="Z27" s="174"/>
      <c r="AA27" s="174"/>
      <c r="AB27" s="174"/>
      <c r="AC27" s="174"/>
      <c r="AD27" s="174"/>
      <c r="AE27" s="174"/>
      <c r="AF27" s="174"/>
      <c r="AG27" s="174"/>
      <c r="AH27" s="174"/>
      <c r="AI27" s="174"/>
      <c r="AJ27" s="174"/>
      <c r="AK27" s="174"/>
      <c r="AL27" s="174"/>
      <c r="AM27" s="174"/>
      <c r="AN27" s="174"/>
      <c r="AO27" s="174"/>
      <c r="AP27" s="174"/>
      <c r="AQ27" s="174"/>
      <c r="AR27" s="174"/>
      <c r="AS27" s="174"/>
      <c r="AT27" s="174"/>
      <c r="AU27" s="174"/>
      <c r="AV27" s="174"/>
      <c r="AW27" s="174"/>
      <c r="AX27" s="174"/>
      <c r="AY27" s="174"/>
      <c r="AZ27" s="174"/>
      <c r="BA27" s="174"/>
      <c r="BB27" s="174"/>
      <c r="BC27" s="174"/>
      <c r="BD27" s="174"/>
      <c r="BE27" s="174"/>
      <c r="BF27" s="174"/>
      <c r="BG27" s="174"/>
      <c r="BH27" s="174"/>
      <c r="BI27" s="174"/>
      <c r="BJ27" s="174"/>
      <c r="BK27" s="174"/>
      <c r="BL27" s="174"/>
      <c r="BM27" s="174"/>
      <c r="BN27" s="174"/>
      <c r="BO27" s="174"/>
      <c r="BP27" s="174"/>
    </row>
    <row r="28" spans="1:68" s="149" customFormat="1" ht="15">
      <c r="A28" s="68"/>
      <c r="B28" s="68"/>
      <c r="C28" s="68"/>
      <c r="D28" s="68"/>
      <c r="E28" s="68"/>
      <c r="F28" s="68"/>
      <c r="G28" s="246"/>
      <c r="H28" s="68"/>
      <c r="I28" s="249" t="s">
        <v>263</v>
      </c>
      <c r="J28" s="249"/>
      <c r="K28" s="249"/>
      <c r="L28" s="493"/>
      <c r="M28" s="494"/>
      <c r="N28" s="483"/>
      <c r="O28" s="487"/>
      <c r="P28" s="483"/>
      <c r="Q28" s="483"/>
      <c r="R28" s="483"/>
      <c r="S28" s="483"/>
      <c r="T28" s="483"/>
      <c r="U28" s="523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67"/>
      <c r="AW28" s="67"/>
      <c r="AX28" s="67"/>
      <c r="AY28" s="67"/>
      <c r="AZ28" s="67"/>
      <c r="BA28" s="67"/>
      <c r="BB28" s="67"/>
      <c r="BC28" s="67"/>
      <c r="BD28" s="67"/>
      <c r="BE28" s="67"/>
      <c r="BF28" s="67"/>
      <c r="BG28" s="67"/>
      <c r="BH28" s="67"/>
      <c r="BI28" s="67"/>
      <c r="BJ28" s="67"/>
      <c r="BK28" s="67"/>
      <c r="BL28" s="67"/>
      <c r="BM28" s="67"/>
      <c r="BN28" s="67"/>
      <c r="BO28" s="67"/>
      <c r="BP28" s="67"/>
    </row>
    <row r="29" spans="1:68" s="160" customFormat="1" ht="15">
      <c r="A29" s="251"/>
      <c r="B29" s="251"/>
      <c r="C29" s="251"/>
      <c r="D29" s="251"/>
      <c r="E29" s="251"/>
      <c r="F29" s="251"/>
      <c r="G29" s="252"/>
      <c r="H29" s="251"/>
      <c r="I29" s="107" t="s">
        <v>418</v>
      </c>
      <c r="J29" s="107"/>
      <c r="K29" s="107"/>
      <c r="L29" s="490">
        <f>2964064/7.5345</f>
        <v>393398.8984006901</v>
      </c>
      <c r="M29" s="490">
        <f>M30</f>
        <v>0</v>
      </c>
      <c r="N29" s="481">
        <f>N30</f>
        <v>0</v>
      </c>
      <c r="O29" s="481">
        <v>34895.46</v>
      </c>
      <c r="P29" s="481">
        <v>34895.46</v>
      </c>
      <c r="Q29" s="481"/>
      <c r="R29" s="481"/>
      <c r="S29" s="481">
        <f>R29/L29*100</f>
        <v>0</v>
      </c>
      <c r="T29" s="481" t="e">
        <f>R29/Q29*100</f>
        <v>#DIV/0!</v>
      </c>
      <c r="U29" s="527"/>
      <c r="V29" s="251"/>
      <c r="W29" s="251"/>
      <c r="X29" s="251"/>
      <c r="Y29" s="251"/>
      <c r="Z29" s="251"/>
      <c r="AA29" s="251"/>
      <c r="AB29" s="251"/>
      <c r="AC29" s="251"/>
      <c r="AD29" s="251"/>
      <c r="AE29" s="251"/>
      <c r="AF29" s="251"/>
      <c r="AG29" s="251"/>
      <c r="AH29" s="251"/>
      <c r="AI29" s="251"/>
      <c r="AJ29" s="251"/>
      <c r="AK29" s="251"/>
      <c r="AL29" s="251"/>
      <c r="AM29" s="251"/>
      <c r="AN29" s="251"/>
      <c r="AO29" s="251"/>
      <c r="AP29" s="251"/>
      <c r="AQ29" s="251"/>
      <c r="AR29" s="251"/>
      <c r="AS29" s="251"/>
      <c r="AT29" s="251"/>
      <c r="AU29" s="251"/>
      <c r="AV29" s="251"/>
      <c r="AW29" s="251"/>
      <c r="AX29" s="251"/>
      <c r="AY29" s="251"/>
      <c r="AZ29" s="251"/>
      <c r="BA29" s="251"/>
      <c r="BB29" s="251"/>
      <c r="BC29" s="251"/>
      <c r="BD29" s="251"/>
      <c r="BE29" s="251"/>
      <c r="BF29" s="251"/>
      <c r="BG29" s="251"/>
      <c r="BH29" s="251"/>
      <c r="BI29" s="251"/>
      <c r="BJ29" s="251"/>
      <c r="BK29" s="251"/>
      <c r="BL29" s="251"/>
      <c r="BM29" s="251"/>
      <c r="BN29" s="251"/>
      <c r="BO29" s="251"/>
      <c r="BP29" s="251"/>
    </row>
    <row r="30" spans="1:68" s="145" customFormat="1" ht="15">
      <c r="A30" s="68"/>
      <c r="B30" s="68"/>
      <c r="C30" s="68"/>
      <c r="D30" s="68"/>
      <c r="E30" s="68"/>
      <c r="F30" s="68"/>
      <c r="G30" s="246"/>
      <c r="H30" s="68"/>
      <c r="I30" s="589" t="s">
        <v>401</v>
      </c>
      <c r="J30" s="589"/>
      <c r="K30" s="589"/>
      <c r="L30" s="484">
        <f>L29</f>
        <v>393398.8984006901</v>
      </c>
      <c r="M30" s="495"/>
      <c r="N30" s="478">
        <v>0</v>
      </c>
      <c r="O30" s="478">
        <f>O29</f>
        <v>34895.46</v>
      </c>
      <c r="P30" s="478">
        <f>P29</f>
        <v>34895.46</v>
      </c>
      <c r="Q30" s="478">
        <f>Q29</f>
        <v>0</v>
      </c>
      <c r="R30" s="478">
        <f>R29</f>
        <v>0</v>
      </c>
      <c r="S30" s="478">
        <f>R30/L30*100</f>
        <v>0</v>
      </c>
      <c r="T30" s="478" t="e">
        <f>R30/Q30*100</f>
        <v>#DIV/0!</v>
      </c>
      <c r="U30" s="523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7"/>
      <c r="AV30" s="67"/>
      <c r="AW30" s="67"/>
      <c r="AX30" s="67"/>
      <c r="AY30" s="67"/>
      <c r="AZ30" s="67"/>
      <c r="BA30" s="67"/>
      <c r="BB30" s="67"/>
      <c r="BC30" s="67"/>
      <c r="BD30" s="67"/>
      <c r="BE30" s="67"/>
      <c r="BF30" s="67"/>
      <c r="BG30" s="67"/>
      <c r="BH30" s="67"/>
      <c r="BI30" s="67"/>
      <c r="BJ30" s="67"/>
      <c r="BK30" s="67"/>
      <c r="BL30" s="67"/>
      <c r="BM30" s="67"/>
      <c r="BN30" s="67"/>
      <c r="BO30" s="67"/>
      <c r="BP30" s="67"/>
    </row>
    <row r="31" spans="1:68" s="243" customFormat="1" ht="11.25" customHeight="1">
      <c r="A31" s="142"/>
      <c r="B31" s="142"/>
      <c r="C31" s="142"/>
      <c r="D31" s="142"/>
      <c r="E31" s="142"/>
      <c r="F31" s="142"/>
      <c r="G31" s="188"/>
      <c r="H31" s="142"/>
      <c r="I31" s="9"/>
      <c r="J31" s="9"/>
      <c r="K31" s="9"/>
      <c r="L31" s="491"/>
      <c r="M31" s="492"/>
      <c r="N31" s="485"/>
      <c r="O31" s="486"/>
      <c r="P31" s="485"/>
      <c r="Q31" s="485"/>
      <c r="R31" s="485"/>
      <c r="S31" s="486"/>
      <c r="T31" s="486"/>
      <c r="U31" s="526"/>
      <c r="V31" s="174"/>
      <c r="W31" s="174"/>
      <c r="X31" s="174"/>
      <c r="Y31" s="174"/>
      <c r="Z31" s="174"/>
      <c r="AA31" s="174"/>
      <c r="AB31" s="174"/>
      <c r="AC31" s="174"/>
      <c r="AD31" s="174"/>
      <c r="AE31" s="174"/>
      <c r="AF31" s="174"/>
      <c r="AG31" s="174"/>
      <c r="AH31" s="174"/>
      <c r="AI31" s="174"/>
      <c r="AJ31" s="174"/>
      <c r="AK31" s="174"/>
      <c r="AL31" s="174"/>
      <c r="AM31" s="174"/>
      <c r="AN31" s="174"/>
      <c r="AO31" s="174"/>
      <c r="AP31" s="174"/>
      <c r="AQ31" s="174"/>
      <c r="AR31" s="174"/>
      <c r="AS31" s="174"/>
      <c r="AT31" s="174"/>
      <c r="AU31" s="174"/>
      <c r="AV31" s="174"/>
      <c r="AW31" s="174"/>
      <c r="AX31" s="174"/>
      <c r="AY31" s="174"/>
      <c r="AZ31" s="174"/>
      <c r="BA31" s="174"/>
      <c r="BB31" s="174"/>
      <c r="BC31" s="174"/>
      <c r="BD31" s="174"/>
      <c r="BE31" s="174"/>
      <c r="BF31" s="174"/>
      <c r="BG31" s="174"/>
      <c r="BH31" s="174"/>
      <c r="BI31" s="174"/>
      <c r="BJ31" s="174"/>
      <c r="BK31" s="174"/>
      <c r="BL31" s="174"/>
      <c r="BM31" s="174"/>
      <c r="BN31" s="174"/>
      <c r="BO31" s="174"/>
      <c r="BP31" s="174"/>
    </row>
    <row r="32" spans="1:68" s="149" customFormat="1" ht="15">
      <c r="A32" s="68"/>
      <c r="B32" s="68"/>
      <c r="C32" s="68"/>
      <c r="D32" s="68"/>
      <c r="E32" s="68"/>
      <c r="F32" s="68"/>
      <c r="G32" s="246"/>
      <c r="H32" s="68"/>
      <c r="I32" s="249" t="s">
        <v>264</v>
      </c>
      <c r="J32" s="249"/>
      <c r="K32" s="249"/>
      <c r="L32" s="493"/>
      <c r="M32" s="494"/>
      <c r="N32" s="483"/>
      <c r="O32" s="487"/>
      <c r="P32" s="483"/>
      <c r="Q32" s="483"/>
      <c r="R32" s="483"/>
      <c r="S32" s="487"/>
      <c r="T32" s="487"/>
      <c r="U32" s="523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7"/>
      <c r="BK32" s="67"/>
      <c r="BL32" s="67"/>
      <c r="BM32" s="67"/>
      <c r="BN32" s="67"/>
      <c r="BO32" s="67"/>
      <c r="BP32" s="67"/>
    </row>
    <row r="33" spans="1:20" ht="15">
      <c r="A33" s="68"/>
      <c r="B33" s="68"/>
      <c r="C33" s="68"/>
      <c r="D33" s="68"/>
      <c r="E33" s="68"/>
      <c r="F33" s="68"/>
      <c r="G33" s="246"/>
      <c r="H33" s="68"/>
      <c r="I33" s="107" t="s">
        <v>399</v>
      </c>
      <c r="J33" s="107"/>
      <c r="K33" s="107"/>
      <c r="L33" s="490">
        <f aca="true" t="shared" si="12" ref="L33:R33">L15</f>
        <v>1314496.6487490875</v>
      </c>
      <c r="M33" s="490">
        <f t="shared" si="12"/>
        <v>2091293.7518680738</v>
      </c>
      <c r="N33" s="481">
        <f t="shared" si="12"/>
        <v>15244453.02</v>
      </c>
      <c r="O33" s="481">
        <f t="shared" si="12"/>
        <v>2135195.110629107</v>
      </c>
      <c r="P33" s="481">
        <f t="shared" si="12"/>
        <v>786516.52</v>
      </c>
      <c r="Q33" s="481">
        <f t="shared" si="12"/>
        <v>1756765.16</v>
      </c>
      <c r="R33" s="481">
        <f t="shared" si="12"/>
        <v>1691927.74</v>
      </c>
      <c r="S33" s="481">
        <f>R33/L33*100</f>
        <v>128.71297478088565</v>
      </c>
      <c r="T33" s="481">
        <f>R33/Q33*100</f>
        <v>96.3092722080167</v>
      </c>
    </row>
    <row r="34" spans="1:20" ht="15">
      <c r="A34" s="68"/>
      <c r="B34" s="68"/>
      <c r="C34" s="68"/>
      <c r="D34" s="68"/>
      <c r="E34" s="68"/>
      <c r="F34" s="68"/>
      <c r="G34" s="246"/>
      <c r="H34" s="68"/>
      <c r="I34" s="107" t="s">
        <v>398</v>
      </c>
      <c r="J34" s="107"/>
      <c r="K34" s="107"/>
      <c r="L34" s="490">
        <f aca="true" t="shared" si="13" ref="L34:R34">L20+L26</f>
        <v>1673000.4611653062</v>
      </c>
      <c r="M34" s="490">
        <f t="shared" si="13"/>
        <v>2024426.8413732732</v>
      </c>
      <c r="N34" s="481">
        <f t="shared" si="13"/>
        <v>13140043.308301814</v>
      </c>
      <c r="O34" s="481">
        <f t="shared" si="13"/>
        <v>2170090.5683177384</v>
      </c>
      <c r="P34" s="481">
        <f t="shared" si="13"/>
        <v>832826.3799999998</v>
      </c>
      <c r="Q34" s="481">
        <f t="shared" si="13"/>
        <v>1756765.16</v>
      </c>
      <c r="R34" s="481">
        <f t="shared" si="13"/>
        <v>1681882.21</v>
      </c>
      <c r="S34" s="481">
        <f>R34/L34*100</f>
        <v>100.53088741102363</v>
      </c>
      <c r="T34" s="481">
        <f>R34/Q34*100</f>
        <v>95.73745246632738</v>
      </c>
    </row>
    <row r="35" spans="1:68" s="145" customFormat="1" ht="15">
      <c r="A35" s="68"/>
      <c r="B35" s="68"/>
      <c r="C35" s="68"/>
      <c r="D35" s="68"/>
      <c r="E35" s="68"/>
      <c r="F35" s="68"/>
      <c r="G35" s="246"/>
      <c r="H35" s="68"/>
      <c r="I35" s="589" t="s">
        <v>397</v>
      </c>
      <c r="J35" s="589"/>
      <c r="K35" s="589"/>
      <c r="L35" s="484">
        <f aca="true" t="shared" si="14" ref="L35:R35">L33-L34</f>
        <v>-358503.8124162187</v>
      </c>
      <c r="M35" s="484">
        <f t="shared" si="14"/>
        <v>66866.91049480066</v>
      </c>
      <c r="N35" s="478">
        <f t="shared" si="14"/>
        <v>2104409.7116981857</v>
      </c>
      <c r="O35" s="478">
        <f t="shared" si="14"/>
        <v>-34895.45768863149</v>
      </c>
      <c r="P35" s="478">
        <f t="shared" si="14"/>
        <v>-46309.85999999975</v>
      </c>
      <c r="Q35" s="478">
        <f t="shared" si="14"/>
        <v>0</v>
      </c>
      <c r="R35" s="478">
        <f t="shared" si="14"/>
        <v>10045.530000000028</v>
      </c>
      <c r="S35" s="478">
        <f>R35/L35*100</f>
        <v>-2.802070620196721</v>
      </c>
      <c r="T35" s="478" t="e">
        <f>R35/Q35*100</f>
        <v>#DIV/0!</v>
      </c>
      <c r="U35" s="523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7"/>
      <c r="AN35" s="67"/>
      <c r="AO35" s="67"/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67"/>
      <c r="BD35" s="67"/>
      <c r="BE35" s="67"/>
      <c r="BF35" s="67"/>
      <c r="BG35" s="67"/>
      <c r="BH35" s="67"/>
      <c r="BI35" s="67"/>
      <c r="BJ35" s="67"/>
      <c r="BK35" s="67"/>
      <c r="BL35" s="67"/>
      <c r="BM35" s="67"/>
      <c r="BN35" s="67"/>
      <c r="BO35" s="67"/>
      <c r="BP35" s="67"/>
    </row>
    <row r="36" spans="1:68" s="243" customFormat="1" ht="11.25" customHeight="1">
      <c r="A36" s="142"/>
      <c r="B36" s="142"/>
      <c r="C36" s="142"/>
      <c r="D36" s="142"/>
      <c r="E36" s="142"/>
      <c r="F36" s="142"/>
      <c r="G36" s="188"/>
      <c r="H36" s="142"/>
      <c r="I36" s="80"/>
      <c r="J36" s="80"/>
      <c r="K36" s="80"/>
      <c r="L36" s="496"/>
      <c r="M36" s="497"/>
      <c r="N36" s="488"/>
      <c r="O36" s="489"/>
      <c r="P36" s="488"/>
      <c r="Q36" s="488"/>
      <c r="R36" s="488"/>
      <c r="S36" s="489"/>
      <c r="T36" s="489"/>
      <c r="U36" s="526"/>
      <c r="V36" s="174"/>
      <c r="W36" s="174"/>
      <c r="X36" s="174"/>
      <c r="Y36" s="174"/>
      <c r="Z36" s="174"/>
      <c r="AA36" s="174"/>
      <c r="AB36" s="174"/>
      <c r="AC36" s="174"/>
      <c r="AD36" s="174"/>
      <c r="AE36" s="174"/>
      <c r="AF36" s="174"/>
      <c r="AG36" s="174"/>
      <c r="AH36" s="174"/>
      <c r="AI36" s="174"/>
      <c r="AJ36" s="174"/>
      <c r="AK36" s="174"/>
      <c r="AL36" s="174"/>
      <c r="AM36" s="174"/>
      <c r="AN36" s="174"/>
      <c r="AO36" s="174"/>
      <c r="AP36" s="174"/>
      <c r="AQ36" s="174"/>
      <c r="AR36" s="174"/>
      <c r="AS36" s="174"/>
      <c r="AT36" s="174"/>
      <c r="AU36" s="174"/>
      <c r="AV36" s="174"/>
      <c r="AW36" s="174"/>
      <c r="AX36" s="174"/>
      <c r="AY36" s="174"/>
      <c r="AZ36" s="174"/>
      <c r="BA36" s="174"/>
      <c r="BB36" s="174"/>
      <c r="BC36" s="174"/>
      <c r="BD36" s="174"/>
      <c r="BE36" s="174"/>
      <c r="BF36" s="174"/>
      <c r="BG36" s="174"/>
      <c r="BH36" s="174"/>
      <c r="BI36" s="174"/>
      <c r="BJ36" s="174"/>
      <c r="BK36" s="174"/>
      <c r="BL36" s="174"/>
      <c r="BM36" s="174"/>
      <c r="BN36" s="174"/>
      <c r="BO36" s="174"/>
      <c r="BP36" s="174"/>
    </row>
    <row r="37" spans="1:68" s="149" customFormat="1" ht="15">
      <c r="A37" s="68"/>
      <c r="B37" s="68"/>
      <c r="C37" s="68"/>
      <c r="D37" s="68"/>
      <c r="E37" s="68"/>
      <c r="F37" s="68"/>
      <c r="G37" s="246"/>
      <c r="H37" s="68"/>
      <c r="I37" s="244" t="s">
        <v>402</v>
      </c>
      <c r="J37" s="244"/>
      <c r="K37" s="244"/>
      <c r="L37" s="493"/>
      <c r="M37" s="494"/>
      <c r="N37" s="493"/>
      <c r="O37" s="494"/>
      <c r="P37" s="493"/>
      <c r="Q37" s="493"/>
      <c r="R37" s="493"/>
      <c r="S37" s="494"/>
      <c r="T37" s="494"/>
      <c r="U37" s="523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7"/>
      <c r="AV37" s="67"/>
      <c r="AW37" s="67"/>
      <c r="AX37" s="67"/>
      <c r="AY37" s="67"/>
      <c r="AZ37" s="67"/>
      <c r="BA37" s="67"/>
      <c r="BB37" s="67"/>
      <c r="BC37" s="67"/>
      <c r="BD37" s="67"/>
      <c r="BE37" s="67"/>
      <c r="BF37" s="67"/>
      <c r="BG37" s="67"/>
      <c r="BH37" s="67"/>
      <c r="BI37" s="67"/>
      <c r="BJ37" s="67"/>
      <c r="BK37" s="67"/>
      <c r="BL37" s="67"/>
      <c r="BM37" s="67"/>
      <c r="BN37" s="67"/>
      <c r="BO37" s="67"/>
      <c r="BP37" s="67"/>
    </row>
    <row r="38" spans="1:68" s="1" customFormat="1" ht="13.5" customHeight="1">
      <c r="A38" s="68"/>
      <c r="B38" s="68"/>
      <c r="C38" s="68"/>
      <c r="D38" s="68"/>
      <c r="E38" s="68"/>
      <c r="F38" s="68"/>
      <c r="G38" s="68"/>
      <c r="H38" s="68"/>
      <c r="I38" s="590" t="s">
        <v>408</v>
      </c>
      <c r="J38" s="597"/>
      <c r="K38" s="597"/>
      <c r="L38" s="490">
        <f aca="true" t="shared" si="15" ref="L38:R38">L30+L35</f>
        <v>34895.08598447143</v>
      </c>
      <c r="M38" s="490">
        <f t="shared" si="15"/>
        <v>66866.91049480066</v>
      </c>
      <c r="N38" s="481">
        <f t="shared" si="15"/>
        <v>2104409.7116981857</v>
      </c>
      <c r="O38" s="481">
        <f t="shared" si="15"/>
        <v>0.0023113685092539527</v>
      </c>
      <c r="P38" s="481">
        <f t="shared" si="15"/>
        <v>-11414.399999999754</v>
      </c>
      <c r="Q38" s="481">
        <f t="shared" si="15"/>
        <v>0</v>
      </c>
      <c r="R38" s="481">
        <f t="shared" si="15"/>
        <v>10045.530000000028</v>
      </c>
      <c r="S38" s="481">
        <f>R38/L38*100</f>
        <v>28.7878069836835</v>
      </c>
      <c r="T38" s="481">
        <v>0</v>
      </c>
      <c r="U38" s="523"/>
      <c r="V38" s="481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67"/>
      <c r="AT38" s="67"/>
      <c r="AU38" s="67"/>
      <c r="AV38" s="67"/>
      <c r="AW38" s="67"/>
      <c r="AX38" s="67"/>
      <c r="AY38" s="67"/>
      <c r="AZ38" s="67"/>
      <c r="BA38" s="67"/>
      <c r="BB38" s="67"/>
      <c r="BC38" s="67"/>
      <c r="BD38" s="67"/>
      <c r="BE38" s="67"/>
      <c r="BF38" s="67"/>
      <c r="BG38" s="67"/>
      <c r="BH38" s="67"/>
      <c r="BI38" s="67"/>
      <c r="BJ38" s="67"/>
      <c r="BK38" s="67"/>
      <c r="BL38" s="67"/>
      <c r="BM38" s="67"/>
      <c r="BN38" s="67"/>
      <c r="BO38" s="67"/>
      <c r="BP38" s="67"/>
    </row>
    <row r="39" spans="1:68" s="1" customFormat="1" ht="18.75" customHeight="1">
      <c r="A39" s="68"/>
      <c r="B39" s="68"/>
      <c r="C39" s="68"/>
      <c r="D39" s="68"/>
      <c r="E39" s="68"/>
      <c r="F39" s="68"/>
      <c r="G39" s="68"/>
      <c r="H39" s="68"/>
      <c r="I39" s="590" t="s">
        <v>407</v>
      </c>
      <c r="J39" s="590"/>
      <c r="K39" s="590"/>
      <c r="L39" s="401"/>
      <c r="M39" s="141"/>
      <c r="N39" s="401"/>
      <c r="O39" s="141"/>
      <c r="P39" s="401"/>
      <c r="Q39" s="401"/>
      <c r="R39" s="401"/>
      <c r="S39" s="141"/>
      <c r="T39" s="141"/>
      <c r="U39" s="523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67"/>
      <c r="AL39" s="67"/>
      <c r="AM39" s="67"/>
      <c r="AN39" s="67"/>
      <c r="AO39" s="67"/>
      <c r="AP39" s="67"/>
      <c r="AQ39" s="67"/>
      <c r="AR39" s="67"/>
      <c r="AS39" s="67"/>
      <c r="AT39" s="67"/>
      <c r="AU39" s="67"/>
      <c r="AV39" s="67"/>
      <c r="AW39" s="67"/>
      <c r="AX39" s="67"/>
      <c r="AY39" s="67"/>
      <c r="AZ39" s="67"/>
      <c r="BA39" s="67"/>
      <c r="BB39" s="67"/>
      <c r="BC39" s="67"/>
      <c r="BD39" s="67"/>
      <c r="BE39" s="67"/>
      <c r="BF39" s="67"/>
      <c r="BG39" s="67"/>
      <c r="BH39" s="67"/>
      <c r="BI39" s="67"/>
      <c r="BJ39" s="67"/>
      <c r="BK39" s="67"/>
      <c r="BL39" s="67"/>
      <c r="BM39" s="67"/>
      <c r="BN39" s="67"/>
      <c r="BO39" s="67"/>
      <c r="BP39" s="67"/>
    </row>
    <row r="40" spans="1:68" s="145" customFormat="1" ht="21.75" customHeight="1">
      <c r="A40" s="68"/>
      <c r="B40" s="68"/>
      <c r="C40" s="68"/>
      <c r="D40" s="68"/>
      <c r="E40" s="68"/>
      <c r="F40" s="68"/>
      <c r="G40" s="68"/>
      <c r="H40" s="68"/>
      <c r="I40" s="556" t="s">
        <v>408</v>
      </c>
      <c r="J40" s="556"/>
      <c r="K40" s="556"/>
      <c r="L40" s="402"/>
      <c r="M40" s="121"/>
      <c r="N40" s="402"/>
      <c r="O40" s="121"/>
      <c r="P40" s="402"/>
      <c r="Q40" s="402"/>
      <c r="R40" s="402"/>
      <c r="S40" s="121"/>
      <c r="T40" s="121"/>
      <c r="U40" s="523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7"/>
      <c r="BM40" s="67"/>
      <c r="BN40" s="67"/>
      <c r="BO40" s="67"/>
      <c r="BP40" s="67"/>
    </row>
    <row r="41" spans="1:68" s="245" customFormat="1" ht="9" customHeight="1">
      <c r="A41" s="242"/>
      <c r="B41" s="242"/>
      <c r="C41" s="242"/>
      <c r="D41" s="242"/>
      <c r="E41" s="242"/>
      <c r="F41" s="242"/>
      <c r="G41" s="242"/>
      <c r="H41" s="242"/>
      <c r="I41" s="83"/>
      <c r="J41" s="83"/>
      <c r="K41" s="83"/>
      <c r="L41" s="399"/>
      <c r="M41" s="10"/>
      <c r="N41" s="399"/>
      <c r="O41" s="10"/>
      <c r="P41" s="399"/>
      <c r="Q41" s="399"/>
      <c r="R41" s="399"/>
      <c r="S41" s="10"/>
      <c r="T41" s="10"/>
      <c r="U41" s="526"/>
      <c r="V41" s="174"/>
      <c r="W41" s="174"/>
      <c r="X41" s="174"/>
      <c r="Y41" s="174"/>
      <c r="Z41" s="174"/>
      <c r="AA41" s="174"/>
      <c r="AB41" s="174"/>
      <c r="AC41" s="174"/>
      <c r="AD41" s="174"/>
      <c r="AE41" s="174"/>
      <c r="AF41" s="174"/>
      <c r="AG41" s="174"/>
      <c r="AH41" s="174"/>
      <c r="AI41" s="174"/>
      <c r="AJ41" s="174"/>
      <c r="AK41" s="174"/>
      <c r="AL41" s="174"/>
      <c r="AM41" s="174"/>
      <c r="AN41" s="174"/>
      <c r="AO41" s="174"/>
      <c r="AP41" s="174"/>
      <c r="AQ41" s="174"/>
      <c r="AR41" s="174"/>
      <c r="AS41" s="174"/>
      <c r="AT41" s="174"/>
      <c r="AU41" s="174"/>
      <c r="AV41" s="174"/>
      <c r="AW41" s="174"/>
      <c r="AX41" s="174"/>
      <c r="AY41" s="174"/>
      <c r="AZ41" s="174"/>
      <c r="BA41" s="174"/>
      <c r="BB41" s="174"/>
      <c r="BC41" s="174"/>
      <c r="BD41" s="174"/>
      <c r="BE41" s="174"/>
      <c r="BF41" s="174"/>
      <c r="BG41" s="174"/>
      <c r="BH41" s="174"/>
      <c r="BI41" s="174"/>
      <c r="BJ41" s="174"/>
      <c r="BK41" s="174"/>
      <c r="BL41" s="174"/>
      <c r="BM41" s="174"/>
      <c r="BN41" s="174"/>
      <c r="BO41" s="174"/>
      <c r="BP41" s="174"/>
    </row>
    <row r="42" spans="1:68" s="1" customFormat="1" ht="24.75" customHeight="1">
      <c r="A42" s="580" t="s">
        <v>410</v>
      </c>
      <c r="B42" s="580"/>
      <c r="C42" s="580"/>
      <c r="D42" s="580"/>
      <c r="E42" s="580"/>
      <c r="F42" s="580"/>
      <c r="G42" s="580"/>
      <c r="H42" s="580"/>
      <c r="I42" s="580"/>
      <c r="J42" s="580"/>
      <c r="K42" s="580"/>
      <c r="L42" s="580"/>
      <c r="M42" s="580"/>
      <c r="N42" s="580"/>
      <c r="O42" s="580"/>
      <c r="P42" s="392"/>
      <c r="Q42" s="392"/>
      <c r="R42" s="392"/>
      <c r="S42" s="67"/>
      <c r="T42" s="67"/>
      <c r="U42" s="523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67"/>
      <c r="AN42" s="67"/>
      <c r="AO42" s="67"/>
      <c r="AP42" s="67"/>
      <c r="AQ42" s="67"/>
      <c r="AR42" s="67"/>
      <c r="AS42" s="67"/>
      <c r="AT42" s="67"/>
      <c r="AU42" s="67"/>
      <c r="AV42" s="67"/>
      <c r="AW42" s="67"/>
      <c r="AX42" s="67"/>
      <c r="AY42" s="67"/>
      <c r="AZ42" s="67"/>
      <c r="BA42" s="67"/>
      <c r="BB42" s="67"/>
      <c r="BC42" s="67"/>
      <c r="BD42" s="67"/>
      <c r="BE42" s="67"/>
      <c r="BF42" s="67"/>
      <c r="BG42" s="67"/>
      <c r="BH42" s="67"/>
      <c r="BI42" s="67"/>
      <c r="BJ42" s="67"/>
      <c r="BK42" s="67"/>
      <c r="BL42" s="67"/>
      <c r="BM42" s="67"/>
      <c r="BN42" s="67"/>
      <c r="BO42" s="67"/>
      <c r="BP42" s="67"/>
    </row>
    <row r="43" spans="2:20" ht="24.75" customHeight="1">
      <c r="B43" s="44" t="s">
        <v>698</v>
      </c>
      <c r="C43" s="44"/>
      <c r="D43" s="44"/>
      <c r="E43" s="44"/>
      <c r="F43" s="44"/>
      <c r="G43" s="44"/>
      <c r="H43" s="44"/>
      <c r="I43" s="44"/>
      <c r="J43" s="44"/>
      <c r="K43" s="44"/>
      <c r="L43" s="389"/>
      <c r="M43" s="262"/>
      <c r="N43" s="389"/>
      <c r="O43" s="262"/>
      <c r="P43" s="389"/>
      <c r="Q43" s="389"/>
      <c r="R43" s="389"/>
      <c r="S43" s="262"/>
      <c r="T43" s="262"/>
    </row>
    <row r="44" spans="1:20" ht="14.25" customHeight="1">
      <c r="A44" s="587" t="s">
        <v>411</v>
      </c>
      <c r="B44" s="587"/>
      <c r="C44" s="587"/>
      <c r="D44" s="587"/>
      <c r="E44" s="587"/>
      <c r="F44" s="587"/>
      <c r="G44" s="587"/>
      <c r="H44" s="587"/>
      <c r="I44" s="587"/>
      <c r="J44" s="587"/>
      <c r="K44" s="587"/>
      <c r="L44" s="587"/>
      <c r="M44" s="587"/>
      <c r="N44" s="587"/>
      <c r="O44" s="587"/>
      <c r="P44" s="392"/>
      <c r="Q44" s="392"/>
      <c r="R44" s="392"/>
      <c r="S44" s="67"/>
      <c r="T44" s="67"/>
    </row>
    <row r="45" spans="1:20" ht="30.75" customHeight="1">
      <c r="A45" s="553" t="s">
        <v>616</v>
      </c>
      <c r="B45" s="553"/>
      <c r="C45" s="553"/>
      <c r="D45" s="553"/>
      <c r="E45" s="553"/>
      <c r="F45" s="553"/>
      <c r="G45" s="553"/>
      <c r="H45" s="553"/>
      <c r="I45" s="553"/>
      <c r="J45" s="553"/>
      <c r="K45" s="553"/>
      <c r="L45" s="553"/>
      <c r="M45" s="553"/>
      <c r="N45" s="553"/>
      <c r="O45" s="553"/>
      <c r="P45" s="392"/>
      <c r="Q45" s="392"/>
      <c r="R45" s="392"/>
      <c r="S45" s="67"/>
      <c r="T45" s="67"/>
    </row>
    <row r="46" spans="1:20" ht="23.25" customHeight="1">
      <c r="A46" s="2"/>
      <c r="B46" s="3"/>
      <c r="C46" s="3"/>
      <c r="D46" s="3"/>
      <c r="E46" s="3"/>
      <c r="F46" s="3"/>
      <c r="G46" s="3"/>
      <c r="H46" s="3"/>
      <c r="I46" s="3"/>
      <c r="J46" s="3"/>
      <c r="K46" s="3"/>
      <c r="L46" s="403"/>
      <c r="M46" s="8"/>
      <c r="N46" s="403"/>
      <c r="O46" s="8"/>
      <c r="P46" s="403"/>
      <c r="Q46" s="403"/>
      <c r="R46" s="403"/>
      <c r="S46" s="8"/>
      <c r="T46" s="8"/>
    </row>
    <row r="47" spans="1:20" ht="27.75" customHeight="1">
      <c r="A47" s="108"/>
      <c r="B47" s="68"/>
      <c r="C47" s="68"/>
      <c r="D47" s="68"/>
      <c r="E47" s="68"/>
      <c r="F47" s="68"/>
      <c r="G47" s="68"/>
      <c r="H47" s="68"/>
      <c r="I47" s="68" t="s">
        <v>265</v>
      </c>
      <c r="J47" s="68"/>
      <c r="K47" s="68"/>
      <c r="L47" s="574" t="s">
        <v>688</v>
      </c>
      <c r="M47" s="546" t="s">
        <v>653</v>
      </c>
      <c r="N47" s="574" t="s">
        <v>609</v>
      </c>
      <c r="O47" s="546" t="s">
        <v>663</v>
      </c>
      <c r="P47" s="574" t="s">
        <v>668</v>
      </c>
      <c r="Q47" s="546" t="s">
        <v>679</v>
      </c>
      <c r="R47" s="574" t="s">
        <v>686</v>
      </c>
      <c r="S47" s="546" t="s">
        <v>699</v>
      </c>
      <c r="T47" s="546" t="s">
        <v>700</v>
      </c>
    </row>
    <row r="48" spans="1:20" ht="26.25" customHeight="1">
      <c r="A48" s="108"/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575"/>
      <c r="M48" s="547"/>
      <c r="N48" s="575"/>
      <c r="O48" s="547"/>
      <c r="P48" s="575"/>
      <c r="Q48" s="547"/>
      <c r="R48" s="575"/>
      <c r="S48" s="547"/>
      <c r="T48" s="547"/>
    </row>
    <row r="49" spans="1:68" s="264" customFormat="1" ht="12.75">
      <c r="A49" s="255" t="s">
        <v>260</v>
      </c>
      <c r="B49" s="255"/>
      <c r="C49" s="255"/>
      <c r="D49" s="255"/>
      <c r="E49" s="255"/>
      <c r="F49" s="255"/>
      <c r="G49" s="255"/>
      <c r="H49" s="255"/>
      <c r="I49" s="263"/>
      <c r="J49" s="263" t="s">
        <v>266</v>
      </c>
      <c r="K49" s="263"/>
      <c r="L49" s="404"/>
      <c r="M49" s="270"/>
      <c r="N49" s="404"/>
      <c r="O49" s="270"/>
      <c r="P49" s="404"/>
      <c r="Q49" s="404"/>
      <c r="R49" s="404"/>
      <c r="S49" s="270"/>
      <c r="T49" s="270"/>
      <c r="U49" s="528"/>
      <c r="V49" s="265"/>
      <c r="W49" s="265"/>
      <c r="X49" s="265"/>
      <c r="Y49" s="265"/>
      <c r="Z49" s="265"/>
      <c r="AA49" s="265"/>
      <c r="AB49" s="265"/>
      <c r="AC49" s="265"/>
      <c r="AD49" s="265"/>
      <c r="AE49" s="265"/>
      <c r="AF49" s="265"/>
      <c r="AG49" s="265"/>
      <c r="AH49" s="265"/>
      <c r="AI49" s="265"/>
      <c r="AJ49" s="265"/>
      <c r="AK49" s="265"/>
      <c r="AL49" s="265"/>
      <c r="AM49" s="265"/>
      <c r="AN49" s="265"/>
      <c r="AO49" s="265"/>
      <c r="AP49" s="265"/>
      <c r="AQ49" s="265"/>
      <c r="AR49" s="265"/>
      <c r="AS49" s="265"/>
      <c r="AT49" s="265"/>
      <c r="AU49" s="265"/>
      <c r="AV49" s="265"/>
      <c r="AW49" s="265"/>
      <c r="AX49" s="265"/>
      <c r="AY49" s="265"/>
      <c r="AZ49" s="265"/>
      <c r="BA49" s="265"/>
      <c r="BB49" s="265"/>
      <c r="BC49" s="265"/>
      <c r="BD49" s="265"/>
      <c r="BE49" s="265"/>
      <c r="BF49" s="265"/>
      <c r="BG49" s="265"/>
      <c r="BH49" s="265"/>
      <c r="BI49" s="265"/>
      <c r="BJ49" s="265"/>
      <c r="BK49" s="265"/>
      <c r="BL49" s="265"/>
      <c r="BM49" s="265"/>
      <c r="BN49" s="265"/>
      <c r="BO49" s="265"/>
      <c r="BP49" s="265"/>
    </row>
    <row r="50" spans="1:68" s="149" customFormat="1" ht="24" customHeight="1">
      <c r="A50" s="81">
        <v>1</v>
      </c>
      <c r="B50" s="81">
        <v>2</v>
      </c>
      <c r="C50" s="81">
        <v>3</v>
      </c>
      <c r="D50" s="81">
        <v>4</v>
      </c>
      <c r="E50" s="81">
        <v>5</v>
      </c>
      <c r="F50" s="81">
        <v>6</v>
      </c>
      <c r="G50" s="81">
        <v>7</v>
      </c>
      <c r="H50" s="81">
        <v>8</v>
      </c>
      <c r="I50" s="81" t="s">
        <v>261</v>
      </c>
      <c r="J50" s="81"/>
      <c r="K50" s="81"/>
      <c r="L50" s="538">
        <v>1</v>
      </c>
      <c r="M50" s="513">
        <v>2</v>
      </c>
      <c r="N50" s="514"/>
      <c r="O50" s="513">
        <v>3</v>
      </c>
      <c r="P50" s="513">
        <v>4</v>
      </c>
      <c r="Q50" s="513">
        <v>3</v>
      </c>
      <c r="R50" s="513">
        <v>4</v>
      </c>
      <c r="S50" s="513">
        <v>5</v>
      </c>
      <c r="T50" s="513">
        <v>6</v>
      </c>
      <c r="U50" s="523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67"/>
      <c r="AG50" s="67"/>
      <c r="AH50" s="67"/>
      <c r="AI50" s="67"/>
      <c r="AJ50" s="67"/>
      <c r="AK50" s="67"/>
      <c r="AL50" s="67"/>
      <c r="AM50" s="67"/>
      <c r="AN50" s="67"/>
      <c r="AO50" s="67"/>
      <c r="AP50" s="67"/>
      <c r="AQ50" s="67"/>
      <c r="AR50" s="67"/>
      <c r="AS50" s="67"/>
      <c r="AT50" s="67"/>
      <c r="AU50" s="67"/>
      <c r="AV50" s="67"/>
      <c r="AW50" s="67"/>
      <c r="AX50" s="67"/>
      <c r="AY50" s="67"/>
      <c r="AZ50" s="67"/>
      <c r="BA50" s="67"/>
      <c r="BB50" s="67"/>
      <c r="BC50" s="67"/>
      <c r="BD50" s="67"/>
      <c r="BE50" s="67"/>
      <c r="BF50" s="67"/>
      <c r="BG50" s="67"/>
      <c r="BH50" s="67"/>
      <c r="BI50" s="67"/>
      <c r="BJ50" s="67"/>
      <c r="BK50" s="67"/>
      <c r="BL50" s="67"/>
      <c r="BM50" s="67"/>
      <c r="BN50" s="67"/>
      <c r="BO50" s="67"/>
      <c r="BP50" s="67"/>
    </row>
    <row r="51" spans="1:68" s="145" customFormat="1" ht="36" customHeight="1">
      <c r="A51" s="143">
        <v>1</v>
      </c>
      <c r="B51" s="144"/>
      <c r="C51" s="144">
        <v>3</v>
      </c>
      <c r="D51" s="144">
        <v>4</v>
      </c>
      <c r="E51" s="144">
        <v>5</v>
      </c>
      <c r="F51" s="144">
        <v>6</v>
      </c>
      <c r="G51" s="144"/>
      <c r="H51" s="144"/>
      <c r="I51" s="153">
        <v>6</v>
      </c>
      <c r="J51" s="153" t="s">
        <v>441</v>
      </c>
      <c r="K51" s="153"/>
      <c r="L51" s="484">
        <f aca="true" t="shared" si="16" ref="L51:R51">L52+L57+L75+L79+L85+L87</f>
        <v>1312467.7151768531</v>
      </c>
      <c r="M51" s="484">
        <f t="shared" si="16"/>
        <v>2062428.2213086472</v>
      </c>
      <c r="N51" s="484">
        <f t="shared" si="16"/>
        <v>15048346.68</v>
      </c>
      <c r="O51" s="484">
        <f t="shared" si="16"/>
        <v>2106329.581951026</v>
      </c>
      <c r="P51" s="484">
        <f t="shared" si="16"/>
        <v>786516.52</v>
      </c>
      <c r="Q51" s="484">
        <f t="shared" si="16"/>
        <v>1739705.16</v>
      </c>
      <c r="R51" s="484">
        <f t="shared" si="16"/>
        <v>1691567.74</v>
      </c>
      <c r="S51" s="478">
        <f>R51/L51*100</f>
        <v>128.88452191542584</v>
      </c>
      <c r="T51" s="478">
        <f>R51/Q51*100</f>
        <v>97.23301274797622</v>
      </c>
      <c r="U51" s="523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67"/>
      <c r="AK51" s="67"/>
      <c r="AL51" s="67"/>
      <c r="AM51" s="67"/>
      <c r="AN51" s="67"/>
      <c r="AO51" s="67"/>
      <c r="AP51" s="67"/>
      <c r="AQ51" s="67"/>
      <c r="AR51" s="67"/>
      <c r="AS51" s="67"/>
      <c r="AT51" s="67"/>
      <c r="AU51" s="67"/>
      <c r="AV51" s="67"/>
      <c r="AW51" s="67"/>
      <c r="AX51" s="67"/>
      <c r="AY51" s="67"/>
      <c r="AZ51" s="67"/>
      <c r="BA51" s="67"/>
      <c r="BB51" s="67"/>
      <c r="BC51" s="67"/>
      <c r="BD51" s="67"/>
      <c r="BE51" s="67"/>
      <c r="BF51" s="67"/>
      <c r="BG51" s="67"/>
      <c r="BH51" s="67"/>
      <c r="BI51" s="67"/>
      <c r="BJ51" s="67"/>
      <c r="BK51" s="67"/>
      <c r="BL51" s="67"/>
      <c r="BM51" s="67"/>
      <c r="BN51" s="67"/>
      <c r="BO51" s="67"/>
      <c r="BP51" s="67"/>
    </row>
    <row r="52" spans="1:68" s="14" customFormat="1" ht="29.25" customHeight="1">
      <c r="A52" s="14">
        <v>1</v>
      </c>
      <c r="B52" s="163"/>
      <c r="C52" s="163">
        <v>3</v>
      </c>
      <c r="D52" s="163"/>
      <c r="E52" s="163"/>
      <c r="F52" s="163"/>
      <c r="G52" s="163"/>
      <c r="H52" s="163"/>
      <c r="I52" s="293">
        <v>61</v>
      </c>
      <c r="J52" s="294" t="s">
        <v>267</v>
      </c>
      <c r="K52" s="294"/>
      <c r="L52" s="479">
        <f aca="true" t="shared" si="17" ref="L52:R52">L53+L54+L55</f>
        <v>105657.70787709868</v>
      </c>
      <c r="M52" s="479">
        <f t="shared" si="17"/>
        <v>107505.47481584709</v>
      </c>
      <c r="N52" s="479">
        <f t="shared" si="17"/>
        <v>810000</v>
      </c>
      <c r="O52" s="479">
        <f t="shared" si="17"/>
        <v>107505.47481584709</v>
      </c>
      <c r="P52" s="479">
        <f t="shared" si="17"/>
        <v>66015.16</v>
      </c>
      <c r="Q52" s="479">
        <f t="shared" si="17"/>
        <v>154000</v>
      </c>
      <c r="R52" s="479">
        <f t="shared" si="17"/>
        <v>156793.49000000002</v>
      </c>
      <c r="S52" s="481">
        <f aca="true" t="shared" si="18" ref="S52:S115">R52/L52*100</f>
        <v>148.39758797567578</v>
      </c>
      <c r="T52" s="481">
        <f aca="true" t="shared" si="19" ref="T52:T116">R52/Q52*100</f>
        <v>101.81395454545456</v>
      </c>
      <c r="U52" s="529"/>
      <c r="V52" s="261"/>
      <c r="W52" s="261"/>
      <c r="X52" s="261"/>
      <c r="Y52" s="261"/>
      <c r="Z52" s="261"/>
      <c r="AA52" s="261"/>
      <c r="AB52" s="261"/>
      <c r="AC52" s="261"/>
      <c r="AD52" s="261"/>
      <c r="AE52" s="261"/>
      <c r="AF52" s="261"/>
      <c r="AG52" s="261"/>
      <c r="AH52" s="261"/>
      <c r="AI52" s="261"/>
      <c r="AJ52" s="261"/>
      <c r="AK52" s="261"/>
      <c r="AL52" s="261"/>
      <c r="AM52" s="261"/>
      <c r="AN52" s="261"/>
      <c r="AO52" s="261"/>
      <c r="AP52" s="261"/>
      <c r="AQ52" s="261"/>
      <c r="AR52" s="261"/>
      <c r="AS52" s="261"/>
      <c r="AT52" s="261"/>
      <c r="AU52" s="261"/>
      <c r="AV52" s="261"/>
      <c r="AW52" s="261"/>
      <c r="AX52" s="261"/>
      <c r="AY52" s="261"/>
      <c r="AZ52" s="261"/>
      <c r="BA52" s="261"/>
      <c r="BB52" s="261"/>
      <c r="BC52" s="261"/>
      <c r="BD52" s="261"/>
      <c r="BE52" s="261"/>
      <c r="BF52" s="261"/>
      <c r="BG52" s="261"/>
      <c r="BH52" s="261"/>
      <c r="BI52" s="261"/>
      <c r="BJ52" s="261"/>
      <c r="BK52" s="261"/>
      <c r="BL52" s="261"/>
      <c r="BM52" s="261"/>
      <c r="BN52" s="261"/>
      <c r="BO52" s="261"/>
      <c r="BP52" s="261"/>
    </row>
    <row r="53" spans="1:21" ht="25.5" customHeight="1">
      <c r="A53" s="2">
        <v>1</v>
      </c>
      <c r="B53" s="3"/>
      <c r="C53" s="3">
        <v>3</v>
      </c>
      <c r="D53" s="3"/>
      <c r="E53" s="3"/>
      <c r="F53" s="3"/>
      <c r="G53" s="3"/>
      <c r="H53" s="3"/>
      <c r="I53" s="5">
        <v>611</v>
      </c>
      <c r="J53" s="5" t="s">
        <v>268</v>
      </c>
      <c r="K53" s="5"/>
      <c r="L53" s="480">
        <f>618740/7.5345</f>
        <v>82120.91047846572</v>
      </c>
      <c r="M53" s="480">
        <f>600000/7.5345</f>
        <v>79633.68504877563</v>
      </c>
      <c r="N53" s="480">
        <v>600000</v>
      </c>
      <c r="O53" s="480">
        <f>600000/7.5345</f>
        <v>79633.68504877563</v>
      </c>
      <c r="P53" s="480">
        <v>51820</v>
      </c>
      <c r="Q53" s="480">
        <v>120000</v>
      </c>
      <c r="R53" s="480">
        <v>124620.24</v>
      </c>
      <c r="S53" s="481">
        <f t="shared" si="18"/>
        <v>151.7521411707664</v>
      </c>
      <c r="T53" s="481">
        <f t="shared" si="19"/>
        <v>103.8502</v>
      </c>
      <c r="U53" s="523">
        <v>115000</v>
      </c>
    </row>
    <row r="54" spans="1:21" ht="26.25" customHeight="1">
      <c r="A54" s="2">
        <v>1</v>
      </c>
      <c r="B54" s="3"/>
      <c r="C54" s="3">
        <v>3</v>
      </c>
      <c r="D54" s="3"/>
      <c r="E54" s="3"/>
      <c r="F54" s="3"/>
      <c r="G54" s="3"/>
      <c r="H54" s="3"/>
      <c r="I54" s="5">
        <v>613</v>
      </c>
      <c r="J54" s="5" t="s">
        <v>269</v>
      </c>
      <c r="K54" s="5"/>
      <c r="L54" s="481">
        <f>155460/7.5345</f>
        <v>20633.087796137766</v>
      </c>
      <c r="M54" s="481">
        <f>180000/7.5345</f>
        <v>23890.105514632687</v>
      </c>
      <c r="N54" s="481">
        <v>180000</v>
      </c>
      <c r="O54" s="481">
        <f>180000/7.5345</f>
        <v>23890.105514632687</v>
      </c>
      <c r="P54" s="481">
        <v>12910.25</v>
      </c>
      <c r="Q54" s="481">
        <v>30000</v>
      </c>
      <c r="R54" s="481">
        <v>28701.56</v>
      </c>
      <c r="S54" s="481">
        <f t="shared" si="18"/>
        <v>139.1045309532999</v>
      </c>
      <c r="T54" s="481">
        <f t="shared" si="19"/>
        <v>95.67186666666667</v>
      </c>
      <c r="U54" s="523">
        <v>27000</v>
      </c>
    </row>
    <row r="55" spans="1:21" ht="23.25" customHeight="1">
      <c r="A55" s="2">
        <v>1</v>
      </c>
      <c r="B55" s="3"/>
      <c r="C55" s="3">
        <v>3</v>
      </c>
      <c r="D55" s="3"/>
      <c r="E55" s="3"/>
      <c r="F55" s="3"/>
      <c r="G55" s="3"/>
      <c r="H55" s="3"/>
      <c r="I55" s="5">
        <v>614</v>
      </c>
      <c r="J55" s="5" t="s">
        <v>270</v>
      </c>
      <c r="K55" s="5"/>
      <c r="L55" s="481">
        <f>21878/7.5345</f>
        <v>2903.709602495189</v>
      </c>
      <c r="M55" s="481">
        <f>30000/7.5345</f>
        <v>3981.684252438781</v>
      </c>
      <c r="N55" s="481">
        <v>30000</v>
      </c>
      <c r="O55" s="481">
        <f>30000/7.5345</f>
        <v>3981.684252438781</v>
      </c>
      <c r="P55" s="481">
        <v>1284.91</v>
      </c>
      <c r="Q55" s="481">
        <v>4000</v>
      </c>
      <c r="R55" s="481">
        <v>3471.69</v>
      </c>
      <c r="S55" s="481">
        <f t="shared" si="18"/>
        <v>119.56050966724563</v>
      </c>
      <c r="T55" s="481">
        <f t="shared" si="19"/>
        <v>86.79225000000001</v>
      </c>
      <c r="U55" s="523">
        <v>4000</v>
      </c>
    </row>
    <row r="56" spans="1:20" ht="23.25" customHeight="1" hidden="1">
      <c r="A56" s="2"/>
      <c r="B56" s="3"/>
      <c r="C56" s="3"/>
      <c r="D56" s="3"/>
      <c r="E56" s="3"/>
      <c r="F56" s="3"/>
      <c r="G56" s="3"/>
      <c r="H56" s="3"/>
      <c r="I56" s="5">
        <v>616</v>
      </c>
      <c r="J56" s="5" t="s">
        <v>271</v>
      </c>
      <c r="K56" s="5"/>
      <c r="L56" s="481"/>
      <c r="M56" s="481"/>
      <c r="N56" s="481"/>
      <c r="O56" s="481"/>
      <c r="P56" s="481"/>
      <c r="Q56" s="481"/>
      <c r="R56" s="481"/>
      <c r="S56" s="481" t="e">
        <f t="shared" si="18"/>
        <v>#DIV/0!</v>
      </c>
      <c r="T56" s="481" t="e">
        <f t="shared" si="19"/>
        <v>#DIV/0!</v>
      </c>
    </row>
    <row r="57" spans="2:68" s="14" customFormat="1" ht="23.25" customHeight="1">
      <c r="B57" s="163"/>
      <c r="C57" s="163"/>
      <c r="D57" s="163">
        <v>4</v>
      </c>
      <c r="E57" s="163"/>
      <c r="F57" s="163"/>
      <c r="G57" s="163"/>
      <c r="H57" s="163"/>
      <c r="I57" s="293">
        <v>63</v>
      </c>
      <c r="J57" s="299" t="s">
        <v>381</v>
      </c>
      <c r="K57" s="300"/>
      <c r="L57" s="482">
        <f>L58+L59+L60+L61+L62+L63+L64+L65+L68+L69+L70+L72+L74+L73</f>
        <v>1043044.3957794148</v>
      </c>
      <c r="M57" s="482">
        <f>M58+M59+M60+M61+M62+M63+M64+M65+M68+M69+M70+M72+M74</f>
        <v>1672530.460342425</v>
      </c>
      <c r="N57" s="482">
        <f>N58+N59+N60+N61+N62+N63+N64+N65+N68+N69+N70+N72+N74</f>
        <v>12110662</v>
      </c>
      <c r="O57" s="482">
        <f>O58+O59+O60+O61+O62+O63+O64+O65+O68+O69+O70+O72+O74</f>
        <v>1672530.4835091913</v>
      </c>
      <c r="P57" s="482">
        <f>P58+P59+P60+P61+P62+P63+P64+P65+P68+P69+P70+P72+P74+P71</f>
        <v>631700.77</v>
      </c>
      <c r="Q57" s="482">
        <f>Q58+Q59+Q60+Q61+Q62+Q63+Q64+Q65+Q68+Q69+Q70+Q72+Q74+Q71</f>
        <v>1342241.92</v>
      </c>
      <c r="R57" s="482">
        <f>R58+R59+R60+R61+R62+R63+R64+R65+R68+R69+R70+R72+R74+R71</f>
        <v>1292328.98</v>
      </c>
      <c r="S57" s="481">
        <f t="shared" si="18"/>
        <v>123.8997098521686</v>
      </c>
      <c r="T57" s="481">
        <f t="shared" si="19"/>
        <v>96.28137526802918</v>
      </c>
      <c r="U57" s="529"/>
      <c r="V57" s="261"/>
      <c r="W57" s="261"/>
      <c r="X57" s="261"/>
      <c r="Y57" s="261"/>
      <c r="Z57" s="261"/>
      <c r="AA57" s="261"/>
      <c r="AB57" s="261"/>
      <c r="AC57" s="261"/>
      <c r="AD57" s="261"/>
      <c r="AE57" s="261"/>
      <c r="AF57" s="261"/>
      <c r="AG57" s="261"/>
      <c r="AH57" s="261"/>
      <c r="AI57" s="261"/>
      <c r="AJ57" s="261"/>
      <c r="AK57" s="261"/>
      <c r="AL57" s="261"/>
      <c r="AM57" s="261"/>
      <c r="AN57" s="261"/>
      <c r="AO57" s="261"/>
      <c r="AP57" s="261"/>
      <c r="AQ57" s="261"/>
      <c r="AR57" s="261"/>
      <c r="AS57" s="261"/>
      <c r="AT57" s="261"/>
      <c r="AU57" s="261"/>
      <c r="AV57" s="261"/>
      <c r="AW57" s="261"/>
      <c r="AX57" s="261"/>
      <c r="AY57" s="261"/>
      <c r="AZ57" s="261"/>
      <c r="BA57" s="261"/>
      <c r="BB57" s="261"/>
      <c r="BC57" s="261"/>
      <c r="BD57" s="261"/>
      <c r="BE57" s="261"/>
      <c r="BF57" s="261"/>
      <c r="BG57" s="261"/>
      <c r="BH57" s="261"/>
      <c r="BI57" s="261"/>
      <c r="BJ57" s="261"/>
      <c r="BK57" s="261"/>
      <c r="BL57" s="261"/>
      <c r="BM57" s="261"/>
      <c r="BN57" s="261"/>
      <c r="BO57" s="261"/>
      <c r="BP57" s="261"/>
    </row>
    <row r="58" spans="1:21" s="67" customFormat="1" ht="23.25" customHeight="1">
      <c r="A58" s="108"/>
      <c r="B58" s="68"/>
      <c r="C58" s="163"/>
      <c r="D58" s="163">
        <v>4</v>
      </c>
      <c r="E58" s="68"/>
      <c r="F58" s="68"/>
      <c r="G58" s="68"/>
      <c r="H58" s="68"/>
      <c r="I58" s="105">
        <v>633</v>
      </c>
      <c r="J58" s="161" t="s">
        <v>674</v>
      </c>
      <c r="K58" s="162"/>
      <c r="L58" s="480">
        <f>6303964/7.5345</f>
        <v>836679.8062246997</v>
      </c>
      <c r="M58" s="480">
        <f>6656680/7.5345+0.13</f>
        <v>883493.3943174729</v>
      </c>
      <c r="N58" s="480">
        <v>6656680</v>
      </c>
      <c r="O58" s="480">
        <f>6656680/7.5345+0.13</f>
        <v>883493.3943174729</v>
      </c>
      <c r="P58" s="480">
        <v>405089.52</v>
      </c>
      <c r="Q58" s="480">
        <v>810179.04</v>
      </c>
      <c r="R58" s="480">
        <v>810179</v>
      </c>
      <c r="S58" s="481">
        <f t="shared" si="18"/>
        <v>96.83262270374641</v>
      </c>
      <c r="T58" s="481">
        <f t="shared" si="19"/>
        <v>99.99999506281969</v>
      </c>
      <c r="U58" s="523">
        <v>810179.04</v>
      </c>
    </row>
    <row r="59" spans="1:21" s="67" customFormat="1" ht="19.5" customHeight="1">
      <c r="A59" s="108"/>
      <c r="B59" s="68"/>
      <c r="C59" s="163"/>
      <c r="D59" s="163">
        <v>4</v>
      </c>
      <c r="E59" s="68"/>
      <c r="F59" s="68"/>
      <c r="G59" s="68"/>
      <c r="H59" s="68"/>
      <c r="I59" s="105">
        <v>633</v>
      </c>
      <c r="J59" s="105" t="s">
        <v>683</v>
      </c>
      <c r="K59" s="105"/>
      <c r="L59" s="480">
        <v>0</v>
      </c>
      <c r="M59" s="480">
        <f>500000/7.5345</f>
        <v>66361.40420731303</v>
      </c>
      <c r="N59" s="480">
        <v>500000</v>
      </c>
      <c r="O59" s="480">
        <f>500000/7.5345</f>
        <v>66361.40420731303</v>
      </c>
      <c r="P59" s="480">
        <v>0</v>
      </c>
      <c r="Q59" s="480">
        <v>77654</v>
      </c>
      <c r="R59" s="480">
        <v>89400</v>
      </c>
      <c r="S59" s="481" t="e">
        <f t="shared" si="18"/>
        <v>#DIV/0!</v>
      </c>
      <c r="T59" s="481">
        <f t="shared" si="19"/>
        <v>115.12607206325495</v>
      </c>
      <c r="U59" s="523">
        <v>0</v>
      </c>
    </row>
    <row r="60" spans="1:21" s="67" customFormat="1" ht="24.75" customHeight="1">
      <c r="A60" s="108"/>
      <c r="B60" s="68"/>
      <c r="C60" s="163"/>
      <c r="D60" s="163">
        <v>4</v>
      </c>
      <c r="E60" s="68"/>
      <c r="F60" s="68"/>
      <c r="G60" s="68"/>
      <c r="H60" s="68"/>
      <c r="I60" s="105">
        <v>633</v>
      </c>
      <c r="J60" s="105" t="s">
        <v>382</v>
      </c>
      <c r="K60" s="105"/>
      <c r="L60" s="480">
        <f>150000/7.5345</f>
        <v>19908.421262193908</v>
      </c>
      <c r="M60" s="480">
        <f>550000/7.5345</f>
        <v>72997.54462804433</v>
      </c>
      <c r="N60" s="480">
        <v>550000</v>
      </c>
      <c r="O60" s="480">
        <f>550000/7.5345</f>
        <v>72997.54462804433</v>
      </c>
      <c r="P60" s="480">
        <v>21820.89</v>
      </c>
      <c r="Q60" s="480">
        <f>46820.89+20000</f>
        <v>66820.89</v>
      </c>
      <c r="R60" s="480">
        <v>46820.89</v>
      </c>
      <c r="S60" s="481">
        <f t="shared" si="18"/>
        <v>235.18133046999998</v>
      </c>
      <c r="T60" s="481">
        <f t="shared" si="19"/>
        <v>70.06924032289902</v>
      </c>
      <c r="U60" s="523">
        <f>25000+21820.89</f>
        <v>46820.89</v>
      </c>
    </row>
    <row r="61" spans="1:21" s="67" customFormat="1" ht="24.75" customHeight="1">
      <c r="A61" s="108"/>
      <c r="B61" s="68"/>
      <c r="C61" s="163"/>
      <c r="D61" s="163">
        <v>4</v>
      </c>
      <c r="E61" s="68"/>
      <c r="F61" s="68"/>
      <c r="G61" s="68"/>
      <c r="H61" s="68"/>
      <c r="I61" s="105">
        <v>633</v>
      </c>
      <c r="J61" s="105" t="s">
        <v>430</v>
      </c>
      <c r="K61" s="105"/>
      <c r="L61" s="481">
        <f>100000/7.5345</f>
        <v>13272.280841462605</v>
      </c>
      <c r="M61" s="481">
        <f>300000/7.5345</f>
        <v>39816.842524387816</v>
      </c>
      <c r="N61" s="481">
        <v>300000</v>
      </c>
      <c r="O61" s="481">
        <f>300000/7.5345</f>
        <v>39816.842524387816</v>
      </c>
      <c r="P61" s="481">
        <v>0</v>
      </c>
      <c r="Q61" s="481">
        <v>34400</v>
      </c>
      <c r="R61" s="481"/>
      <c r="S61" s="481">
        <f t="shared" si="18"/>
        <v>0</v>
      </c>
      <c r="T61" s="481">
        <f t="shared" si="19"/>
        <v>0</v>
      </c>
      <c r="U61" s="523">
        <v>34400</v>
      </c>
    </row>
    <row r="62" spans="1:21" s="67" customFormat="1" ht="26.25" customHeight="1">
      <c r="A62" s="108"/>
      <c r="B62" s="68"/>
      <c r="C62" s="163"/>
      <c r="D62" s="163">
        <v>4</v>
      </c>
      <c r="E62" s="68"/>
      <c r="F62" s="68"/>
      <c r="G62" s="68"/>
      <c r="H62" s="68"/>
      <c r="I62" s="105">
        <v>633</v>
      </c>
      <c r="J62" s="105" t="s">
        <v>620</v>
      </c>
      <c r="K62" s="322"/>
      <c r="L62" s="481">
        <v>0</v>
      </c>
      <c r="M62" s="481">
        <f>500000/7.5345</f>
        <v>66361.40420731303</v>
      </c>
      <c r="N62" s="481">
        <v>500000</v>
      </c>
      <c r="O62" s="481">
        <f>500000/7.5345</f>
        <v>66361.40420731303</v>
      </c>
      <c r="P62" s="481">
        <v>0</v>
      </c>
      <c r="Q62" s="481">
        <v>5892</v>
      </c>
      <c r="R62" s="481">
        <v>11931</v>
      </c>
      <c r="S62" s="481" t="e">
        <f t="shared" si="18"/>
        <v>#DIV/0!</v>
      </c>
      <c r="T62" s="481">
        <f t="shared" si="19"/>
        <v>202.4949083503055</v>
      </c>
      <c r="U62" s="523">
        <v>2946</v>
      </c>
    </row>
    <row r="63" spans="1:21" s="67" customFormat="1" ht="28.5" customHeight="1">
      <c r="A63" s="108"/>
      <c r="B63" s="68"/>
      <c r="C63" s="163"/>
      <c r="D63" s="163">
        <v>4</v>
      </c>
      <c r="E63" s="68"/>
      <c r="F63" s="68"/>
      <c r="G63" s="68"/>
      <c r="H63" s="68"/>
      <c r="I63" s="105">
        <v>633</v>
      </c>
      <c r="J63" s="105" t="s">
        <v>560</v>
      </c>
      <c r="K63" s="105"/>
      <c r="L63" s="481">
        <v>0</v>
      </c>
      <c r="M63" s="481">
        <v>0</v>
      </c>
      <c r="N63" s="481">
        <v>1000000</v>
      </c>
      <c r="O63" s="481">
        <v>0</v>
      </c>
      <c r="P63" s="481">
        <v>0</v>
      </c>
      <c r="Q63" s="481">
        <v>0</v>
      </c>
      <c r="R63" s="481"/>
      <c r="S63" s="481" t="e">
        <f t="shared" si="18"/>
        <v>#DIV/0!</v>
      </c>
      <c r="T63" s="481" t="e">
        <f t="shared" si="19"/>
        <v>#DIV/0!</v>
      </c>
      <c r="U63" s="523">
        <v>0</v>
      </c>
    </row>
    <row r="64" spans="1:21" ht="30.75" customHeight="1">
      <c r="A64" s="2"/>
      <c r="B64" s="3"/>
      <c r="C64" s="163"/>
      <c r="D64" s="163">
        <v>4</v>
      </c>
      <c r="E64" s="3"/>
      <c r="F64" s="3"/>
      <c r="G64" s="3"/>
      <c r="H64" s="3"/>
      <c r="I64" s="105">
        <v>633</v>
      </c>
      <c r="J64" s="5" t="s">
        <v>553</v>
      </c>
      <c r="K64" s="5"/>
      <c r="L64" s="481">
        <f>404909/7.5345</f>
        <v>53740.65963235782</v>
      </c>
      <c r="M64" s="481">
        <f>500000/7.5345</f>
        <v>66361.40420731303</v>
      </c>
      <c r="N64" s="481">
        <v>500000</v>
      </c>
      <c r="O64" s="481">
        <f>500000/7.5345</f>
        <v>66361.40420731303</v>
      </c>
      <c r="P64" s="481">
        <v>0</v>
      </c>
      <c r="Q64" s="481">
        <v>0</v>
      </c>
      <c r="R64" s="481"/>
      <c r="S64" s="481">
        <f t="shared" si="18"/>
        <v>0</v>
      </c>
      <c r="T64" s="481" t="e">
        <f t="shared" si="19"/>
        <v>#DIV/0!</v>
      </c>
      <c r="U64" s="523">
        <v>0</v>
      </c>
    </row>
    <row r="65" spans="1:21" ht="30.75" customHeight="1">
      <c r="A65" s="2"/>
      <c r="B65" s="3"/>
      <c r="C65" s="163"/>
      <c r="D65" s="163">
        <v>4</v>
      </c>
      <c r="E65" s="3"/>
      <c r="F65" s="3"/>
      <c r="G65" s="3"/>
      <c r="H65" s="3"/>
      <c r="I65" s="105">
        <v>633</v>
      </c>
      <c r="J65" s="5" t="s">
        <v>370</v>
      </c>
      <c r="K65" s="5"/>
      <c r="L65" s="481">
        <f>139100/7.5345</f>
        <v>18461.742650474484</v>
      </c>
      <c r="M65" s="481">
        <f>450000/7.5345-0.03</f>
        <v>59725.233786581724</v>
      </c>
      <c r="N65" s="481">
        <v>450000</v>
      </c>
      <c r="O65" s="481">
        <f>450000/7.5345</f>
        <v>59725.26378658172</v>
      </c>
      <c r="P65" s="481">
        <v>7480.75</v>
      </c>
      <c r="Q65" s="481">
        <f>46401.68+9000+2500</f>
        <v>57901.68</v>
      </c>
      <c r="R65" s="481">
        <v>59492.05</v>
      </c>
      <c r="S65" s="481">
        <f t="shared" si="18"/>
        <v>322.24504006110715</v>
      </c>
      <c r="T65" s="481">
        <f t="shared" si="19"/>
        <v>102.74667332623164</v>
      </c>
      <c r="U65" s="523" t="s">
        <v>675</v>
      </c>
    </row>
    <row r="66" spans="1:20" ht="19.5" customHeight="1">
      <c r="A66" s="2"/>
      <c r="B66" s="3"/>
      <c r="C66" s="163"/>
      <c r="D66" s="163">
        <v>4</v>
      </c>
      <c r="E66" s="3"/>
      <c r="F66" s="3"/>
      <c r="G66" s="3"/>
      <c r="H66" s="3"/>
      <c r="I66" s="105">
        <v>634</v>
      </c>
      <c r="J66" s="5" t="s">
        <v>371</v>
      </c>
      <c r="K66" s="5"/>
      <c r="L66" s="481"/>
      <c r="M66" s="481"/>
      <c r="N66" s="481"/>
      <c r="O66" s="481"/>
      <c r="P66" s="481">
        <v>0</v>
      </c>
      <c r="Q66" s="481"/>
      <c r="R66" s="481"/>
      <c r="S66" s="481" t="e">
        <f t="shared" si="18"/>
        <v>#DIV/0!</v>
      </c>
      <c r="T66" s="481" t="e">
        <f t="shared" si="19"/>
        <v>#DIV/0!</v>
      </c>
    </row>
    <row r="67" spans="1:20" ht="24.75" customHeight="1">
      <c r="A67" s="2"/>
      <c r="B67" s="3"/>
      <c r="C67" s="163"/>
      <c r="D67" s="163">
        <v>4</v>
      </c>
      <c r="E67" s="3"/>
      <c r="F67" s="3"/>
      <c r="G67" s="3"/>
      <c r="H67" s="3"/>
      <c r="I67" s="105">
        <v>634</v>
      </c>
      <c r="J67" s="5" t="s">
        <v>308</v>
      </c>
      <c r="K67" s="5"/>
      <c r="L67" s="481"/>
      <c r="M67" s="481"/>
      <c r="N67" s="481"/>
      <c r="O67" s="481"/>
      <c r="P67" s="481">
        <v>0</v>
      </c>
      <c r="Q67" s="481"/>
      <c r="R67" s="481"/>
      <c r="S67" s="481" t="e">
        <f t="shared" si="18"/>
        <v>#DIV/0!</v>
      </c>
      <c r="T67" s="481" t="e">
        <f t="shared" si="19"/>
        <v>#DIV/0!</v>
      </c>
    </row>
    <row r="68" spans="1:21" ht="19.5" customHeight="1">
      <c r="A68" s="2"/>
      <c r="B68" s="3"/>
      <c r="C68" s="163"/>
      <c r="D68" s="163">
        <v>4</v>
      </c>
      <c r="E68" s="3"/>
      <c r="F68" s="3"/>
      <c r="G68" s="3"/>
      <c r="H68" s="3"/>
      <c r="I68" s="105">
        <v>634</v>
      </c>
      <c r="J68" s="5" t="s">
        <v>372</v>
      </c>
      <c r="K68" s="5"/>
      <c r="L68" s="481">
        <v>0</v>
      </c>
      <c r="M68" s="481">
        <f>(742749+170000)/7.5345</f>
        <v>121142.6106576415</v>
      </c>
      <c r="N68" s="481">
        <f>742749-217018</f>
        <v>525731</v>
      </c>
      <c r="O68" s="481">
        <v>121142.61</v>
      </c>
      <c r="P68" s="481">
        <v>25878.91</v>
      </c>
      <c r="Q68" s="481">
        <f>25878.91+14888.27</f>
        <v>40767.18</v>
      </c>
      <c r="R68" s="481">
        <v>25878.91</v>
      </c>
      <c r="S68" s="481" t="e">
        <f t="shared" si="18"/>
        <v>#DIV/0!</v>
      </c>
      <c r="T68" s="481">
        <f t="shared" si="19"/>
        <v>63.47976485005831</v>
      </c>
      <c r="U68" s="523" t="s">
        <v>676</v>
      </c>
    </row>
    <row r="69" spans="1:20" ht="20.25" customHeight="1">
      <c r="A69" s="2"/>
      <c r="B69" s="3"/>
      <c r="C69" s="163"/>
      <c r="D69" s="163">
        <v>4</v>
      </c>
      <c r="E69" s="3"/>
      <c r="F69" s="3"/>
      <c r="G69" s="3"/>
      <c r="H69" s="3"/>
      <c r="I69" s="105">
        <v>634</v>
      </c>
      <c r="J69" s="5" t="s">
        <v>383</v>
      </c>
      <c r="K69" s="5"/>
      <c r="L69" s="481">
        <f>72251/7.5345</f>
        <v>9589.355630765147</v>
      </c>
      <c r="M69" s="481">
        <f>72251/7.5345</f>
        <v>9589.355630765147</v>
      </c>
      <c r="N69" s="481">
        <v>72251</v>
      </c>
      <c r="O69" s="481">
        <f>72251/7.5345</f>
        <v>9589.355630765147</v>
      </c>
      <c r="P69" s="481">
        <v>15879</v>
      </c>
      <c r="Q69" s="481">
        <v>15879</v>
      </c>
      <c r="R69" s="481">
        <v>15879</v>
      </c>
      <c r="S69" s="481">
        <f t="shared" si="18"/>
        <v>165.58985411966617</v>
      </c>
      <c r="T69" s="481">
        <f t="shared" si="19"/>
        <v>100</v>
      </c>
    </row>
    <row r="70" spans="1:21" ht="21.75" customHeight="1">
      <c r="A70" s="2"/>
      <c r="B70" s="3"/>
      <c r="C70" s="163"/>
      <c r="D70" s="163">
        <v>4</v>
      </c>
      <c r="E70" s="3"/>
      <c r="F70" s="3"/>
      <c r="G70" s="3"/>
      <c r="H70" s="3"/>
      <c r="I70" s="105">
        <v>634</v>
      </c>
      <c r="J70" s="5" t="s">
        <v>373</v>
      </c>
      <c r="K70" s="323"/>
      <c r="L70" s="481">
        <v>0</v>
      </c>
      <c r="M70" s="481">
        <v>0</v>
      </c>
      <c r="N70" s="481">
        <v>100000</v>
      </c>
      <c r="O70" s="481">
        <v>0</v>
      </c>
      <c r="P70" s="481">
        <v>0</v>
      </c>
      <c r="Q70" s="481">
        <v>0</v>
      </c>
      <c r="R70" s="481"/>
      <c r="S70" s="481" t="e">
        <f t="shared" si="18"/>
        <v>#DIV/0!</v>
      </c>
      <c r="T70" s="481" t="e">
        <f t="shared" si="19"/>
        <v>#DIV/0!</v>
      </c>
      <c r="U70" s="523">
        <v>0</v>
      </c>
    </row>
    <row r="71" spans="1:20" ht="24.75" customHeight="1">
      <c r="A71" s="2"/>
      <c r="B71" s="3"/>
      <c r="C71" s="3"/>
      <c r="D71" s="163">
        <v>4</v>
      </c>
      <c r="E71" s="3"/>
      <c r="F71" s="3"/>
      <c r="G71" s="3"/>
      <c r="H71" s="3"/>
      <c r="I71" s="105">
        <v>634</v>
      </c>
      <c r="J71" s="6" t="s">
        <v>669</v>
      </c>
      <c r="K71" s="7"/>
      <c r="L71" s="481"/>
      <c r="M71" s="481"/>
      <c r="N71" s="481"/>
      <c r="O71" s="481"/>
      <c r="P71" s="481">
        <v>12000</v>
      </c>
      <c r="Q71" s="481">
        <v>12000</v>
      </c>
      <c r="R71" s="481">
        <v>12000</v>
      </c>
      <c r="S71" s="481" t="e">
        <f t="shared" si="18"/>
        <v>#DIV/0!</v>
      </c>
      <c r="T71" s="481">
        <f t="shared" si="19"/>
        <v>100</v>
      </c>
    </row>
    <row r="72" spans="1:21" ht="19.5" customHeight="1">
      <c r="A72" s="2"/>
      <c r="B72" s="3"/>
      <c r="C72" s="3"/>
      <c r="D72" s="163">
        <v>4</v>
      </c>
      <c r="E72" s="3">
        <v>5</v>
      </c>
      <c r="F72" s="3"/>
      <c r="G72" s="3"/>
      <c r="H72" s="3"/>
      <c r="I72" s="105">
        <v>638</v>
      </c>
      <c r="J72" s="6" t="s">
        <v>384</v>
      </c>
      <c r="K72" s="7"/>
      <c r="L72" s="481">
        <v>0</v>
      </c>
      <c r="M72" s="481">
        <f>478000/7.5345</f>
        <v>63441.50242219125</v>
      </c>
      <c r="N72" s="481">
        <f>478000*2</f>
        <v>956000</v>
      </c>
      <c r="O72" s="481">
        <v>63441.5</v>
      </c>
      <c r="P72" s="481">
        <v>0</v>
      </c>
      <c r="Q72" s="481">
        <v>0</v>
      </c>
      <c r="R72" s="481"/>
      <c r="S72" s="481" t="e">
        <f t="shared" si="18"/>
        <v>#DIV/0!</v>
      </c>
      <c r="T72" s="481" t="e">
        <f t="shared" si="19"/>
        <v>#DIV/0!</v>
      </c>
      <c r="U72" s="523">
        <v>0</v>
      </c>
    </row>
    <row r="73" spans="1:20" ht="19.5" customHeight="1">
      <c r="A73" s="2"/>
      <c r="B73" s="3"/>
      <c r="C73" s="3"/>
      <c r="D73" s="163"/>
      <c r="E73" s="3"/>
      <c r="F73" s="3"/>
      <c r="G73" s="3"/>
      <c r="H73" s="3"/>
      <c r="I73" s="105">
        <v>638</v>
      </c>
      <c r="J73" s="6" t="s">
        <v>693</v>
      </c>
      <c r="K73" s="7"/>
      <c r="L73" s="481">
        <f>688594/7.5345</f>
        <v>91392.129537461</v>
      </c>
      <c r="M73" s="481"/>
      <c r="N73" s="481"/>
      <c r="O73" s="481"/>
      <c r="P73" s="481"/>
      <c r="Q73" s="481"/>
      <c r="R73" s="481"/>
      <c r="S73" s="481">
        <f t="shared" si="18"/>
        <v>0</v>
      </c>
      <c r="T73" s="481"/>
    </row>
    <row r="74" spans="1:21" ht="25.5" customHeight="1">
      <c r="A74" s="2"/>
      <c r="B74" s="3"/>
      <c r="C74" s="3"/>
      <c r="D74" s="163">
        <v>4</v>
      </c>
      <c r="E74" s="3">
        <v>5</v>
      </c>
      <c r="F74" s="3"/>
      <c r="G74" s="3"/>
      <c r="H74" s="3"/>
      <c r="I74" s="105">
        <v>638</v>
      </c>
      <c r="J74" s="578" t="s">
        <v>564</v>
      </c>
      <c r="K74" s="579"/>
      <c r="L74" s="481">
        <v>0</v>
      </c>
      <c r="M74" s="481">
        <f>1682000/7.5345</f>
        <v>223239.763753401</v>
      </c>
      <c r="N74" s="481">
        <v>0</v>
      </c>
      <c r="O74" s="481">
        <v>223239.76</v>
      </c>
      <c r="P74" s="481">
        <v>143551.7</v>
      </c>
      <c r="Q74" s="481">
        <v>220748.13</v>
      </c>
      <c r="R74" s="481">
        <v>220748.13</v>
      </c>
      <c r="S74" s="481" t="e">
        <f t="shared" si="18"/>
        <v>#DIV/0!</v>
      </c>
      <c r="T74" s="481">
        <f t="shared" si="19"/>
        <v>100</v>
      </c>
      <c r="U74" s="523">
        <f>143551.7+77196.43</f>
        <v>220748.13</v>
      </c>
    </row>
    <row r="75" spans="2:68" s="14" customFormat="1" ht="23.25" customHeight="1">
      <c r="B75" s="163"/>
      <c r="C75" s="163"/>
      <c r="D75" s="163">
        <v>4</v>
      </c>
      <c r="E75" s="163"/>
      <c r="F75" s="163"/>
      <c r="G75" s="163"/>
      <c r="H75" s="163"/>
      <c r="I75" s="293">
        <v>64</v>
      </c>
      <c r="J75" s="294" t="s">
        <v>272</v>
      </c>
      <c r="K75" s="294"/>
      <c r="L75" s="482">
        <f aca="true" t="shared" si="20" ref="L75:R75">L76+L77+L78</f>
        <v>140276.59433273607</v>
      </c>
      <c r="M75" s="482">
        <f t="shared" si="20"/>
        <v>214570.931050501</v>
      </c>
      <c r="N75" s="482">
        <f t="shared" si="20"/>
        <v>1616684.68</v>
      </c>
      <c r="O75" s="482">
        <f t="shared" si="20"/>
        <v>214570.931050501</v>
      </c>
      <c r="P75" s="482">
        <f t="shared" si="20"/>
        <v>47023.1</v>
      </c>
      <c r="Q75" s="482">
        <f t="shared" si="20"/>
        <v>171735.66</v>
      </c>
      <c r="R75" s="482">
        <f t="shared" si="20"/>
        <v>194250.16999999998</v>
      </c>
      <c r="S75" s="481">
        <f t="shared" si="18"/>
        <v>138.4765369618531</v>
      </c>
      <c r="T75" s="481">
        <f t="shared" si="19"/>
        <v>113.10997960470178</v>
      </c>
      <c r="U75" s="529"/>
      <c r="V75" s="261"/>
      <c r="W75" s="261"/>
      <c r="X75" s="261"/>
      <c r="Y75" s="261"/>
      <c r="Z75" s="261"/>
      <c r="AA75" s="261"/>
      <c r="AB75" s="261"/>
      <c r="AC75" s="261"/>
      <c r="AD75" s="261"/>
      <c r="AE75" s="261"/>
      <c r="AF75" s="261"/>
      <c r="AG75" s="261"/>
      <c r="AH75" s="261"/>
      <c r="AI75" s="261"/>
      <c r="AJ75" s="261"/>
      <c r="AK75" s="261"/>
      <c r="AL75" s="261"/>
      <c r="AM75" s="261"/>
      <c r="AN75" s="261"/>
      <c r="AO75" s="261"/>
      <c r="AP75" s="261"/>
      <c r="AQ75" s="261"/>
      <c r="AR75" s="261"/>
      <c r="AS75" s="261"/>
      <c r="AT75" s="261"/>
      <c r="AU75" s="261"/>
      <c r="AV75" s="261"/>
      <c r="AW75" s="261"/>
      <c r="AX75" s="261"/>
      <c r="AY75" s="261"/>
      <c r="AZ75" s="261"/>
      <c r="BA75" s="261"/>
      <c r="BB75" s="261"/>
      <c r="BC75" s="261"/>
      <c r="BD75" s="261"/>
      <c r="BE75" s="261"/>
      <c r="BF75" s="261"/>
      <c r="BG75" s="261"/>
      <c r="BH75" s="261"/>
      <c r="BI75" s="261"/>
      <c r="BJ75" s="261"/>
      <c r="BK75" s="261"/>
      <c r="BL75" s="261"/>
      <c r="BM75" s="261"/>
      <c r="BN75" s="261"/>
      <c r="BO75" s="261"/>
      <c r="BP75" s="261"/>
    </row>
    <row r="76" spans="1:21" ht="24.75" customHeight="1">
      <c r="A76" s="2"/>
      <c r="B76" s="3"/>
      <c r="C76" s="3"/>
      <c r="D76" s="3"/>
      <c r="E76" s="3"/>
      <c r="F76" s="3"/>
      <c r="G76" s="3"/>
      <c r="H76" s="3"/>
      <c r="I76" s="105">
        <v>641</v>
      </c>
      <c r="J76" s="5" t="s">
        <v>273</v>
      </c>
      <c r="K76" s="5"/>
      <c r="L76" s="481">
        <f>12/7.5345</f>
        <v>1.5926737009755125</v>
      </c>
      <c r="M76" s="481">
        <f>2000/7.5345</f>
        <v>265.4456168292521</v>
      </c>
      <c r="N76" s="481">
        <v>2000</v>
      </c>
      <c r="O76" s="481">
        <f>2000/7.5345</f>
        <v>265.4456168292521</v>
      </c>
      <c r="P76" s="481">
        <v>0</v>
      </c>
      <c r="Q76" s="481">
        <v>0</v>
      </c>
      <c r="R76" s="481"/>
      <c r="S76" s="481">
        <f t="shared" si="18"/>
        <v>0</v>
      </c>
      <c r="T76" s="481" t="e">
        <f t="shared" si="19"/>
        <v>#DIV/0!</v>
      </c>
      <c r="U76" s="523">
        <v>0</v>
      </c>
    </row>
    <row r="77" spans="1:20" ht="21" customHeight="1">
      <c r="A77" s="2"/>
      <c r="B77" s="3"/>
      <c r="C77" s="3"/>
      <c r="D77" s="3"/>
      <c r="E77" s="3"/>
      <c r="F77" s="3"/>
      <c r="G77" s="3"/>
      <c r="H77" s="3"/>
      <c r="I77" s="105">
        <v>642</v>
      </c>
      <c r="J77" s="5" t="s">
        <v>274</v>
      </c>
      <c r="K77" s="5"/>
      <c r="L77" s="481">
        <f>309890/7.5345</f>
        <v>41129.47109960847</v>
      </c>
      <c r="M77" s="481">
        <f>(400000+14684.68)/7.5345</f>
        <v>55038.11533612051</v>
      </c>
      <c r="N77" s="481">
        <f>400000+14684.68</f>
        <v>414684.68</v>
      </c>
      <c r="O77" s="481">
        <f>(400000+14684.68)/7.5345</f>
        <v>55038.11533612051</v>
      </c>
      <c r="P77" s="481">
        <v>47023.1</v>
      </c>
      <c r="Q77" s="481">
        <v>60000</v>
      </c>
      <c r="R77" s="481">
        <v>82514.51</v>
      </c>
      <c r="S77" s="481">
        <f t="shared" si="18"/>
        <v>200.6213739052567</v>
      </c>
      <c r="T77" s="481">
        <f t="shared" si="19"/>
        <v>137.52418333333333</v>
      </c>
    </row>
    <row r="78" spans="1:21" s="67" customFormat="1" ht="19.5" customHeight="1">
      <c r="A78" s="108"/>
      <c r="B78" s="68"/>
      <c r="C78" s="68"/>
      <c r="D78" s="68"/>
      <c r="E78" s="68"/>
      <c r="F78" s="68"/>
      <c r="G78" s="68"/>
      <c r="H78" s="68"/>
      <c r="I78" s="105">
        <v>642</v>
      </c>
      <c r="J78" s="591" t="s">
        <v>368</v>
      </c>
      <c r="K78" s="592"/>
      <c r="L78" s="481">
        <f>747012/7.5345</f>
        <v>99145.53055942662</v>
      </c>
      <c r="M78" s="481">
        <f>1200000/7.5345</f>
        <v>159267.37009755126</v>
      </c>
      <c r="N78" s="481">
        <v>1200000</v>
      </c>
      <c r="O78" s="481">
        <f>1200000/7.5345</f>
        <v>159267.37009755126</v>
      </c>
      <c r="P78" s="481">
        <v>0</v>
      </c>
      <c r="Q78" s="481">
        <v>111735.66</v>
      </c>
      <c r="R78" s="481">
        <v>111735.66</v>
      </c>
      <c r="S78" s="481">
        <f t="shared" si="18"/>
        <v>112.69863539943134</v>
      </c>
      <c r="T78" s="481">
        <f t="shared" si="19"/>
        <v>100</v>
      </c>
      <c r="U78" s="523">
        <v>111735.66</v>
      </c>
    </row>
    <row r="79" spans="2:68" s="14" customFormat="1" ht="24.75" customHeight="1">
      <c r="B79" s="163"/>
      <c r="C79" s="163"/>
      <c r="D79" s="163"/>
      <c r="E79" s="163"/>
      <c r="F79" s="163"/>
      <c r="G79" s="163"/>
      <c r="H79" s="163"/>
      <c r="I79" s="293">
        <v>65</v>
      </c>
      <c r="J79" s="558" t="s">
        <v>443</v>
      </c>
      <c r="K79" s="559"/>
      <c r="L79" s="482">
        <f aca="true" t="shared" si="21" ref="L79:R79">L80+L81+L82</f>
        <v>23489.01718760369</v>
      </c>
      <c r="M79" s="482">
        <f t="shared" si="21"/>
        <v>28004.512575486096</v>
      </c>
      <c r="N79" s="482">
        <f t="shared" si="21"/>
        <v>211000</v>
      </c>
      <c r="O79" s="482">
        <f t="shared" si="21"/>
        <v>28004.512575486096</v>
      </c>
      <c r="P79" s="482">
        <f t="shared" si="21"/>
        <v>10454.91</v>
      </c>
      <c r="Q79" s="482">
        <f t="shared" si="21"/>
        <v>25405</v>
      </c>
      <c r="R79" s="482">
        <f t="shared" si="21"/>
        <v>16872.52</v>
      </c>
      <c r="S79" s="481">
        <f t="shared" si="18"/>
        <v>71.83152817864367</v>
      </c>
      <c r="T79" s="481">
        <f t="shared" si="19"/>
        <v>66.41417043888998</v>
      </c>
      <c r="U79" s="529"/>
      <c r="V79" s="261"/>
      <c r="W79" s="261"/>
      <c r="X79" s="261"/>
      <c r="Y79" s="261"/>
      <c r="Z79" s="261"/>
      <c r="AA79" s="261"/>
      <c r="AB79" s="261"/>
      <c r="AC79" s="261"/>
      <c r="AD79" s="261"/>
      <c r="AE79" s="261"/>
      <c r="AF79" s="261"/>
      <c r="AG79" s="261"/>
      <c r="AH79" s="261"/>
      <c r="AI79" s="261"/>
      <c r="AJ79" s="261"/>
      <c r="AK79" s="261"/>
      <c r="AL79" s="261"/>
      <c r="AM79" s="261"/>
      <c r="AN79" s="261"/>
      <c r="AO79" s="261"/>
      <c r="AP79" s="261"/>
      <c r="AQ79" s="261"/>
      <c r="AR79" s="261"/>
      <c r="AS79" s="261"/>
      <c r="AT79" s="261"/>
      <c r="AU79" s="261"/>
      <c r="AV79" s="261"/>
      <c r="AW79" s="261"/>
      <c r="AX79" s="261"/>
      <c r="AY79" s="261"/>
      <c r="AZ79" s="261"/>
      <c r="BA79" s="261"/>
      <c r="BB79" s="261"/>
      <c r="BC79" s="261"/>
      <c r="BD79" s="261"/>
      <c r="BE79" s="261"/>
      <c r="BF79" s="261"/>
      <c r="BG79" s="261"/>
      <c r="BH79" s="261"/>
      <c r="BI79" s="261"/>
      <c r="BJ79" s="261"/>
      <c r="BK79" s="261"/>
      <c r="BL79" s="261"/>
      <c r="BM79" s="261"/>
      <c r="BN79" s="261"/>
      <c r="BO79" s="261"/>
      <c r="BP79" s="261"/>
    </row>
    <row r="80" spans="1:20" ht="23.25" customHeight="1">
      <c r="A80" s="2"/>
      <c r="B80" s="3"/>
      <c r="C80" s="3"/>
      <c r="D80" s="3"/>
      <c r="E80" s="3"/>
      <c r="F80" s="3"/>
      <c r="G80" s="3"/>
      <c r="H80" s="3"/>
      <c r="I80" s="5">
        <v>651</v>
      </c>
      <c r="J80" s="5" t="s">
        <v>275</v>
      </c>
      <c r="K80" s="5"/>
      <c r="L80" s="481">
        <f>3247/7.5345</f>
        <v>430.9509589222908</v>
      </c>
      <c r="M80" s="481">
        <f>1000/7.5345</f>
        <v>132.72280841462606</v>
      </c>
      <c r="N80" s="481">
        <v>1000</v>
      </c>
      <c r="O80" s="481">
        <f>1000/7.5345</f>
        <v>132.72280841462606</v>
      </c>
      <c r="P80" s="481">
        <v>92.11</v>
      </c>
      <c r="Q80" s="481">
        <v>105</v>
      </c>
      <c r="R80" s="481">
        <v>98.25</v>
      </c>
      <c r="S80" s="481">
        <f t="shared" si="18"/>
        <v>22.79841777024946</v>
      </c>
      <c r="T80" s="481">
        <f t="shared" si="19"/>
        <v>93.57142857142857</v>
      </c>
    </row>
    <row r="81" spans="1:20" ht="29.25" customHeight="1">
      <c r="A81" s="2"/>
      <c r="B81" s="3"/>
      <c r="C81" s="3"/>
      <c r="D81" s="3"/>
      <c r="E81" s="3"/>
      <c r="F81" s="3"/>
      <c r="G81" s="3"/>
      <c r="H81" s="3"/>
      <c r="I81" s="5">
        <v>652</v>
      </c>
      <c r="J81" s="5" t="s">
        <v>276</v>
      </c>
      <c r="K81" s="5"/>
      <c r="L81" s="481">
        <f>37346/7.5345</f>
        <v>4956.666003052625</v>
      </c>
      <c r="M81" s="481">
        <f>50000/7.5345</f>
        <v>6636.140420731303</v>
      </c>
      <c r="N81" s="481">
        <v>50000</v>
      </c>
      <c r="O81" s="481">
        <f>50000/7.5345</f>
        <v>6636.140420731303</v>
      </c>
      <c r="P81" s="481">
        <f>69.42+60</f>
        <v>129.42000000000002</v>
      </c>
      <c r="Q81" s="481">
        <v>300</v>
      </c>
      <c r="R81" s="481">
        <v>87.5</v>
      </c>
      <c r="S81" s="481">
        <f t="shared" si="18"/>
        <v>1.7652994965993682</v>
      </c>
      <c r="T81" s="481">
        <f t="shared" si="19"/>
        <v>29.166666666666668</v>
      </c>
    </row>
    <row r="82" spans="1:21" ht="18" customHeight="1">
      <c r="A82" s="2"/>
      <c r="B82" s="3"/>
      <c r="C82" s="3"/>
      <c r="D82" s="3"/>
      <c r="E82" s="3"/>
      <c r="F82" s="3"/>
      <c r="G82" s="3"/>
      <c r="H82" s="3"/>
      <c r="I82" s="5">
        <v>653</v>
      </c>
      <c r="J82" s="5" t="s">
        <v>277</v>
      </c>
      <c r="K82" s="5"/>
      <c r="L82" s="481">
        <f>136385/7.5345</f>
        <v>18101.400225628775</v>
      </c>
      <c r="M82" s="481">
        <f>160000/7.5345</f>
        <v>21235.649346340168</v>
      </c>
      <c r="N82" s="481">
        <v>160000</v>
      </c>
      <c r="O82" s="481">
        <f>160000/7.5345</f>
        <v>21235.649346340168</v>
      </c>
      <c r="P82" s="481">
        <v>10233.38</v>
      </c>
      <c r="Q82" s="481">
        <v>25000</v>
      </c>
      <c r="R82" s="481">
        <v>16686.77</v>
      </c>
      <c r="S82" s="481">
        <f t="shared" si="18"/>
        <v>92.18496796935148</v>
      </c>
      <c r="T82" s="481">
        <f t="shared" si="19"/>
        <v>66.74708</v>
      </c>
      <c r="U82" s="523" t="s">
        <v>677</v>
      </c>
    </row>
    <row r="83" spans="1:20" ht="0.75" customHeight="1">
      <c r="A83" s="2"/>
      <c r="B83" s="3"/>
      <c r="C83" s="3"/>
      <c r="D83" s="3"/>
      <c r="E83" s="3"/>
      <c r="F83" s="3"/>
      <c r="G83" s="3"/>
      <c r="H83" s="3"/>
      <c r="I83" s="293">
        <v>68</v>
      </c>
      <c r="J83" s="293" t="s">
        <v>278</v>
      </c>
      <c r="K83" s="293"/>
      <c r="L83" s="482"/>
      <c r="M83" s="482"/>
      <c r="N83" s="482"/>
      <c r="O83" s="482"/>
      <c r="P83" s="482">
        <v>0</v>
      </c>
      <c r="Q83" s="482"/>
      <c r="R83" s="482">
        <f>R84</f>
        <v>0</v>
      </c>
      <c r="S83" s="481" t="e">
        <f t="shared" si="18"/>
        <v>#DIV/0!</v>
      </c>
      <c r="T83" s="481" t="e">
        <f t="shared" si="19"/>
        <v>#DIV/0!</v>
      </c>
    </row>
    <row r="84" spans="1:20" ht="11.25" customHeight="1">
      <c r="A84" s="2"/>
      <c r="B84" s="3"/>
      <c r="C84" s="3"/>
      <c r="D84" s="3"/>
      <c r="E84" s="3"/>
      <c r="F84" s="3"/>
      <c r="G84" s="3"/>
      <c r="H84" s="3"/>
      <c r="I84" s="5">
        <v>683</v>
      </c>
      <c r="J84" s="5" t="s">
        <v>278</v>
      </c>
      <c r="K84" s="5"/>
      <c r="L84" s="482"/>
      <c r="M84" s="482"/>
      <c r="N84" s="482"/>
      <c r="O84" s="482"/>
      <c r="P84" s="482">
        <v>0</v>
      </c>
      <c r="Q84" s="482"/>
      <c r="R84" s="482"/>
      <c r="S84" s="481" t="e">
        <f t="shared" si="18"/>
        <v>#DIV/0!</v>
      </c>
      <c r="T84" s="481" t="e">
        <f t="shared" si="19"/>
        <v>#DIV/0!</v>
      </c>
    </row>
    <row r="85" spans="2:68" s="14" customFormat="1" ht="21" customHeight="1">
      <c r="B85" s="163"/>
      <c r="C85" s="163"/>
      <c r="D85" s="163"/>
      <c r="E85" s="163"/>
      <c r="F85" s="163"/>
      <c r="G85" s="163"/>
      <c r="H85" s="163"/>
      <c r="I85" s="293">
        <v>66</v>
      </c>
      <c r="J85" s="551" t="s">
        <v>442</v>
      </c>
      <c r="K85" s="552"/>
      <c r="L85" s="482">
        <f aca="true" t="shared" si="22" ref="L85:R85">L86</f>
        <v>0</v>
      </c>
      <c r="M85" s="482">
        <f t="shared" si="22"/>
        <v>39816.842524387816</v>
      </c>
      <c r="N85" s="482">
        <f t="shared" si="22"/>
        <v>300000</v>
      </c>
      <c r="O85" s="482">
        <f t="shared" si="22"/>
        <v>83718.18</v>
      </c>
      <c r="P85" s="482">
        <f t="shared" si="22"/>
        <v>31322.58</v>
      </c>
      <c r="Q85" s="482">
        <f t="shared" si="22"/>
        <v>46322.58</v>
      </c>
      <c r="R85" s="482">
        <f t="shared" si="22"/>
        <v>31322.58</v>
      </c>
      <c r="S85" s="481" t="e">
        <f t="shared" si="18"/>
        <v>#DIV/0!</v>
      </c>
      <c r="T85" s="481">
        <f t="shared" si="19"/>
        <v>67.61838395011677</v>
      </c>
      <c r="U85" s="529"/>
      <c r="V85" s="261"/>
      <c r="W85" s="261"/>
      <c r="X85" s="261"/>
      <c r="Y85" s="261"/>
      <c r="Z85" s="261"/>
      <c r="AA85" s="261"/>
      <c r="AB85" s="261"/>
      <c r="AC85" s="261"/>
      <c r="AD85" s="261"/>
      <c r="AE85" s="261"/>
      <c r="AF85" s="261"/>
      <c r="AG85" s="261"/>
      <c r="AH85" s="261"/>
      <c r="AI85" s="261"/>
      <c r="AJ85" s="261"/>
      <c r="AK85" s="261"/>
      <c r="AL85" s="261"/>
      <c r="AM85" s="261"/>
      <c r="AN85" s="261"/>
      <c r="AO85" s="261"/>
      <c r="AP85" s="261"/>
      <c r="AQ85" s="261"/>
      <c r="AR85" s="261"/>
      <c r="AS85" s="261"/>
      <c r="AT85" s="261"/>
      <c r="AU85" s="261"/>
      <c r="AV85" s="261"/>
      <c r="AW85" s="261"/>
      <c r="AX85" s="261"/>
      <c r="AY85" s="261"/>
      <c r="AZ85" s="261"/>
      <c r="BA85" s="261"/>
      <c r="BB85" s="261"/>
      <c r="BC85" s="261"/>
      <c r="BD85" s="261"/>
      <c r="BE85" s="261"/>
      <c r="BF85" s="261"/>
      <c r="BG85" s="261"/>
      <c r="BH85" s="261"/>
      <c r="BI85" s="261"/>
      <c r="BJ85" s="261"/>
      <c r="BK85" s="261"/>
      <c r="BL85" s="261"/>
      <c r="BM85" s="261"/>
      <c r="BN85" s="261"/>
      <c r="BO85" s="261"/>
      <c r="BP85" s="261"/>
    </row>
    <row r="86" spans="1:21" ht="21" customHeight="1">
      <c r="A86" s="2"/>
      <c r="B86" s="3"/>
      <c r="C86" s="3"/>
      <c r="D86" s="3"/>
      <c r="E86" s="3"/>
      <c r="F86" s="3"/>
      <c r="G86" s="3"/>
      <c r="H86" s="3"/>
      <c r="I86" s="5">
        <v>663</v>
      </c>
      <c r="J86" s="6" t="s">
        <v>463</v>
      </c>
      <c r="K86" s="7"/>
      <c r="L86" s="481">
        <v>0</v>
      </c>
      <c r="M86" s="481">
        <f>300000/7.5345</f>
        <v>39816.842524387816</v>
      </c>
      <c r="N86" s="481">
        <v>300000</v>
      </c>
      <c r="O86" s="481">
        <f>69025+14693.18</f>
        <v>83718.18</v>
      </c>
      <c r="P86" s="481">
        <v>31322.58</v>
      </c>
      <c r="Q86" s="481">
        <v>46322.58</v>
      </c>
      <c r="R86" s="481">
        <v>31322.58</v>
      </c>
      <c r="S86" s="481" t="e">
        <f t="shared" si="18"/>
        <v>#DIV/0!</v>
      </c>
      <c r="T86" s="481">
        <f t="shared" si="19"/>
        <v>67.61838395011677</v>
      </c>
      <c r="U86" s="523">
        <f>31322.58+15000</f>
        <v>46322.58</v>
      </c>
    </row>
    <row r="87" spans="2:68" s="14" customFormat="1" ht="21.75" customHeight="1">
      <c r="B87" s="163"/>
      <c r="C87" s="163"/>
      <c r="D87" s="163"/>
      <c r="E87" s="163"/>
      <c r="F87" s="163"/>
      <c r="G87" s="163"/>
      <c r="H87" s="163"/>
      <c r="I87" s="293">
        <v>68</v>
      </c>
      <c r="J87" s="566" t="s">
        <v>332</v>
      </c>
      <c r="K87" s="567"/>
      <c r="L87" s="482">
        <f aca="true" t="shared" si="23" ref="L87:R87">L88</f>
        <v>0</v>
      </c>
      <c r="M87" s="482">
        <f t="shared" si="23"/>
        <v>0</v>
      </c>
      <c r="N87" s="482">
        <f t="shared" si="23"/>
        <v>0</v>
      </c>
      <c r="O87" s="482">
        <f t="shared" si="23"/>
        <v>0</v>
      </c>
      <c r="P87" s="482">
        <f t="shared" si="23"/>
        <v>0</v>
      </c>
      <c r="Q87" s="482">
        <f t="shared" si="23"/>
        <v>0</v>
      </c>
      <c r="R87" s="482">
        <f t="shared" si="23"/>
        <v>0</v>
      </c>
      <c r="S87" s="481" t="e">
        <f t="shared" si="18"/>
        <v>#DIV/0!</v>
      </c>
      <c r="T87" s="481" t="e">
        <f t="shared" si="19"/>
        <v>#DIV/0!</v>
      </c>
      <c r="U87" s="529"/>
      <c r="V87" s="261"/>
      <c r="W87" s="261"/>
      <c r="X87" s="261"/>
      <c r="Y87" s="261"/>
      <c r="Z87" s="261"/>
      <c r="AA87" s="261"/>
      <c r="AB87" s="261"/>
      <c r="AC87" s="261"/>
      <c r="AD87" s="261"/>
      <c r="AE87" s="261"/>
      <c r="AF87" s="261"/>
      <c r="AG87" s="261"/>
      <c r="AH87" s="261"/>
      <c r="AI87" s="261"/>
      <c r="AJ87" s="261"/>
      <c r="AK87" s="261"/>
      <c r="AL87" s="261"/>
      <c r="AM87" s="261"/>
      <c r="AN87" s="261"/>
      <c r="AO87" s="261"/>
      <c r="AP87" s="261"/>
      <c r="AQ87" s="261"/>
      <c r="AR87" s="261"/>
      <c r="AS87" s="261"/>
      <c r="AT87" s="261"/>
      <c r="AU87" s="261"/>
      <c r="AV87" s="261"/>
      <c r="AW87" s="261"/>
      <c r="AX87" s="261"/>
      <c r="AY87" s="261"/>
      <c r="AZ87" s="261"/>
      <c r="BA87" s="261"/>
      <c r="BB87" s="261"/>
      <c r="BC87" s="261"/>
      <c r="BD87" s="261"/>
      <c r="BE87" s="261"/>
      <c r="BF87" s="261"/>
      <c r="BG87" s="261"/>
      <c r="BH87" s="261"/>
      <c r="BI87" s="261"/>
      <c r="BJ87" s="261"/>
      <c r="BK87" s="261"/>
      <c r="BL87" s="261"/>
      <c r="BM87" s="261"/>
      <c r="BN87" s="261"/>
      <c r="BO87" s="261"/>
      <c r="BP87" s="261"/>
    </row>
    <row r="88" spans="1:20" ht="15.75" customHeight="1">
      <c r="A88" s="2"/>
      <c r="B88" s="3"/>
      <c r="C88" s="3"/>
      <c r="D88" s="3"/>
      <c r="E88" s="3"/>
      <c r="F88" s="3"/>
      <c r="G88" s="3"/>
      <c r="H88" s="3"/>
      <c r="I88" s="5">
        <v>683</v>
      </c>
      <c r="J88" s="564" t="s">
        <v>278</v>
      </c>
      <c r="K88" s="565"/>
      <c r="L88" s="481"/>
      <c r="M88" s="481"/>
      <c r="N88" s="481"/>
      <c r="O88" s="481"/>
      <c r="P88" s="481">
        <v>0</v>
      </c>
      <c r="Q88" s="481"/>
      <c r="R88" s="481"/>
      <c r="S88" s="481" t="e">
        <f t="shared" si="18"/>
        <v>#DIV/0!</v>
      </c>
      <c r="T88" s="481" t="e">
        <f t="shared" si="19"/>
        <v>#DIV/0!</v>
      </c>
    </row>
    <row r="89" spans="1:68" s="145" customFormat="1" ht="21" customHeight="1">
      <c r="A89" s="143"/>
      <c r="B89" s="144"/>
      <c r="C89" s="144"/>
      <c r="D89" s="144"/>
      <c r="E89" s="144"/>
      <c r="F89" s="144"/>
      <c r="G89" s="144">
        <v>7</v>
      </c>
      <c r="H89" s="144"/>
      <c r="I89" s="153">
        <v>7</v>
      </c>
      <c r="J89" s="153" t="s">
        <v>444</v>
      </c>
      <c r="K89" s="153"/>
      <c r="L89" s="484">
        <f aca="true" t="shared" si="24" ref="L89:R89">L92+L94</f>
        <v>2028.9335722343883</v>
      </c>
      <c r="M89" s="484">
        <f t="shared" si="24"/>
        <v>28865.530559426636</v>
      </c>
      <c r="N89" s="484">
        <f t="shared" si="24"/>
        <v>196106.34</v>
      </c>
      <c r="O89" s="484">
        <f t="shared" si="24"/>
        <v>28865.528678080827</v>
      </c>
      <c r="P89" s="484">
        <f t="shared" si="24"/>
        <v>0</v>
      </c>
      <c r="Q89" s="484">
        <f t="shared" si="24"/>
        <v>17060</v>
      </c>
      <c r="R89" s="484">
        <f t="shared" si="24"/>
        <v>360</v>
      </c>
      <c r="S89" s="478">
        <f t="shared" si="18"/>
        <v>17.743311310263625</v>
      </c>
      <c r="T89" s="478">
        <f t="shared" si="19"/>
        <v>2.1101992966002343</v>
      </c>
      <c r="U89" s="523"/>
      <c r="V89" s="67"/>
      <c r="W89" s="67"/>
      <c r="X89" s="67"/>
      <c r="Y89" s="67"/>
      <c r="Z89" s="67"/>
      <c r="AA89" s="67"/>
      <c r="AB89" s="67"/>
      <c r="AC89" s="67"/>
      <c r="AD89" s="67"/>
      <c r="AE89" s="67"/>
      <c r="AF89" s="67"/>
      <c r="AG89" s="67"/>
      <c r="AH89" s="67"/>
      <c r="AI89" s="67"/>
      <c r="AJ89" s="67"/>
      <c r="AK89" s="67"/>
      <c r="AL89" s="67"/>
      <c r="AM89" s="67"/>
      <c r="AN89" s="67"/>
      <c r="AO89" s="67"/>
      <c r="AP89" s="67"/>
      <c r="AQ89" s="67"/>
      <c r="AR89" s="67"/>
      <c r="AS89" s="67"/>
      <c r="AT89" s="67"/>
      <c r="AU89" s="67"/>
      <c r="AV89" s="67"/>
      <c r="AW89" s="67"/>
      <c r="AX89" s="67"/>
      <c r="AY89" s="67"/>
      <c r="AZ89" s="67"/>
      <c r="BA89" s="67"/>
      <c r="BB89" s="67"/>
      <c r="BC89" s="67"/>
      <c r="BD89" s="67"/>
      <c r="BE89" s="67"/>
      <c r="BF89" s="67"/>
      <c r="BG89" s="67"/>
      <c r="BH89" s="67"/>
      <c r="BI89" s="67"/>
      <c r="BJ89" s="67"/>
      <c r="BK89" s="67"/>
      <c r="BL89" s="67"/>
      <c r="BM89" s="67"/>
      <c r="BN89" s="67"/>
      <c r="BO89" s="67"/>
      <c r="BP89" s="67"/>
    </row>
    <row r="90" spans="1:20" ht="25.5" customHeight="1" hidden="1">
      <c r="A90" s="2"/>
      <c r="B90" s="3"/>
      <c r="C90" s="3"/>
      <c r="D90" s="3"/>
      <c r="E90" s="3"/>
      <c r="F90" s="3"/>
      <c r="G90" s="3"/>
      <c r="H90" s="3"/>
      <c r="I90" s="5">
        <v>71</v>
      </c>
      <c r="J90" s="5" t="s">
        <v>279</v>
      </c>
      <c r="K90" s="5"/>
      <c r="L90" s="482"/>
      <c r="M90" s="482"/>
      <c r="N90" s="482"/>
      <c r="O90" s="482"/>
      <c r="P90" s="482">
        <v>0</v>
      </c>
      <c r="Q90" s="482"/>
      <c r="R90" s="482"/>
      <c r="S90" s="481" t="e">
        <f t="shared" si="18"/>
        <v>#DIV/0!</v>
      </c>
      <c r="T90" s="481" t="e">
        <f t="shared" si="19"/>
        <v>#DIV/0!</v>
      </c>
    </row>
    <row r="91" spans="1:20" ht="24" customHeight="1" hidden="1">
      <c r="A91" s="2"/>
      <c r="B91" s="3"/>
      <c r="C91" s="3"/>
      <c r="D91" s="3"/>
      <c r="E91" s="3"/>
      <c r="F91" s="3"/>
      <c r="G91" s="3"/>
      <c r="H91" s="3"/>
      <c r="I91" s="5">
        <v>711</v>
      </c>
      <c r="J91" s="5" t="s">
        <v>280</v>
      </c>
      <c r="K91" s="5"/>
      <c r="L91" s="482"/>
      <c r="M91" s="482"/>
      <c r="N91" s="482"/>
      <c r="O91" s="482"/>
      <c r="P91" s="482"/>
      <c r="Q91" s="482"/>
      <c r="R91" s="482"/>
      <c r="S91" s="481" t="e">
        <f t="shared" si="18"/>
        <v>#DIV/0!</v>
      </c>
      <c r="T91" s="481" t="e">
        <f t="shared" si="19"/>
        <v>#DIV/0!</v>
      </c>
    </row>
    <row r="92" spans="2:68" s="14" customFormat="1" ht="22.5" customHeight="1">
      <c r="B92" s="163"/>
      <c r="C92" s="163"/>
      <c r="D92" s="163"/>
      <c r="E92" s="163"/>
      <c r="F92" s="163"/>
      <c r="G92" s="163"/>
      <c r="H92" s="163"/>
      <c r="I92" s="293">
        <v>71</v>
      </c>
      <c r="J92" s="294" t="s">
        <v>445</v>
      </c>
      <c r="K92" s="294"/>
      <c r="L92" s="482">
        <f aca="true" t="shared" si="25" ref="L92:R92">L93</f>
        <v>0</v>
      </c>
      <c r="M92" s="482">
        <f t="shared" si="25"/>
        <v>26727.851881345807</v>
      </c>
      <c r="N92" s="482">
        <f t="shared" si="25"/>
        <v>180000</v>
      </c>
      <c r="O92" s="482">
        <f t="shared" si="25"/>
        <v>26727.85</v>
      </c>
      <c r="P92" s="482">
        <f t="shared" si="25"/>
        <v>0</v>
      </c>
      <c r="Q92" s="482">
        <f t="shared" si="25"/>
        <v>16700</v>
      </c>
      <c r="R92" s="482">
        <f t="shared" si="25"/>
        <v>0</v>
      </c>
      <c r="S92" s="481" t="e">
        <f t="shared" si="18"/>
        <v>#DIV/0!</v>
      </c>
      <c r="T92" s="481">
        <f t="shared" si="19"/>
        <v>0</v>
      </c>
      <c r="U92" s="529"/>
      <c r="V92" s="261"/>
      <c r="W92" s="261"/>
      <c r="X92" s="261"/>
      <c r="Y92" s="261"/>
      <c r="Z92" s="261"/>
      <c r="AA92" s="261"/>
      <c r="AB92" s="261"/>
      <c r="AC92" s="261"/>
      <c r="AD92" s="261"/>
      <c r="AE92" s="261"/>
      <c r="AF92" s="261"/>
      <c r="AG92" s="261"/>
      <c r="AH92" s="261"/>
      <c r="AI92" s="261"/>
      <c r="AJ92" s="261"/>
      <c r="AK92" s="261"/>
      <c r="AL92" s="261"/>
      <c r="AM92" s="261"/>
      <c r="AN92" s="261"/>
      <c r="AO92" s="261"/>
      <c r="AP92" s="261"/>
      <c r="AQ92" s="261"/>
      <c r="AR92" s="261"/>
      <c r="AS92" s="261"/>
      <c r="AT92" s="261"/>
      <c r="AU92" s="261"/>
      <c r="AV92" s="261"/>
      <c r="AW92" s="261"/>
      <c r="AX92" s="261"/>
      <c r="AY92" s="261"/>
      <c r="AZ92" s="261"/>
      <c r="BA92" s="261"/>
      <c r="BB92" s="261"/>
      <c r="BC92" s="261"/>
      <c r="BD92" s="261"/>
      <c r="BE92" s="261"/>
      <c r="BF92" s="261"/>
      <c r="BG92" s="261"/>
      <c r="BH92" s="261"/>
      <c r="BI92" s="261"/>
      <c r="BJ92" s="261"/>
      <c r="BK92" s="261"/>
      <c r="BL92" s="261"/>
      <c r="BM92" s="261"/>
      <c r="BN92" s="261"/>
      <c r="BO92" s="261"/>
      <c r="BP92" s="261"/>
    </row>
    <row r="93" spans="1:20" ht="24" customHeight="1">
      <c r="A93" s="2"/>
      <c r="B93" s="3"/>
      <c r="C93" s="3"/>
      <c r="D93" s="3"/>
      <c r="E93" s="3"/>
      <c r="F93" s="3"/>
      <c r="G93" s="3"/>
      <c r="H93" s="3"/>
      <c r="I93" s="5">
        <v>711</v>
      </c>
      <c r="J93" s="5" t="s">
        <v>446</v>
      </c>
      <c r="K93" s="5"/>
      <c r="L93" s="481">
        <v>0</v>
      </c>
      <c r="M93" s="481">
        <f>(150000+51381)/7.5345</f>
        <v>26727.851881345807</v>
      </c>
      <c r="N93" s="481">
        <v>180000</v>
      </c>
      <c r="O93" s="481">
        <v>26727.85</v>
      </c>
      <c r="P93" s="481">
        <v>0</v>
      </c>
      <c r="Q93" s="481">
        <v>16700</v>
      </c>
      <c r="R93" s="481"/>
      <c r="S93" s="481" t="e">
        <f t="shared" si="18"/>
        <v>#DIV/0!</v>
      </c>
      <c r="T93" s="481">
        <f t="shared" si="19"/>
        <v>0</v>
      </c>
    </row>
    <row r="94" spans="2:68" s="14" customFormat="1" ht="24.75" customHeight="1">
      <c r="B94" s="163"/>
      <c r="C94" s="163"/>
      <c r="D94" s="163"/>
      <c r="E94" s="163"/>
      <c r="F94" s="163"/>
      <c r="G94" s="163"/>
      <c r="H94" s="163"/>
      <c r="I94" s="293">
        <v>72</v>
      </c>
      <c r="J94" s="551" t="s">
        <v>447</v>
      </c>
      <c r="K94" s="567"/>
      <c r="L94" s="482">
        <f aca="true" t="shared" si="26" ref="L94:R94">L95+L96+L97</f>
        <v>2028.9335722343883</v>
      </c>
      <c r="M94" s="482">
        <f t="shared" si="26"/>
        <v>2137.678678080828</v>
      </c>
      <c r="N94" s="482">
        <f t="shared" si="26"/>
        <v>16106.34</v>
      </c>
      <c r="O94" s="482">
        <f t="shared" si="26"/>
        <v>2137.678678080828</v>
      </c>
      <c r="P94" s="482">
        <f t="shared" si="26"/>
        <v>0</v>
      </c>
      <c r="Q94" s="482">
        <f t="shared" si="26"/>
        <v>360</v>
      </c>
      <c r="R94" s="482">
        <f t="shared" si="26"/>
        <v>360</v>
      </c>
      <c r="S94" s="481">
        <f t="shared" si="18"/>
        <v>17.743311310263625</v>
      </c>
      <c r="T94" s="481">
        <f t="shared" si="19"/>
        <v>100</v>
      </c>
      <c r="U94" s="529"/>
      <c r="V94" s="261"/>
      <c r="W94" s="261"/>
      <c r="X94" s="261"/>
      <c r="Y94" s="261"/>
      <c r="Z94" s="261"/>
      <c r="AA94" s="261"/>
      <c r="AB94" s="261"/>
      <c r="AC94" s="261"/>
      <c r="AD94" s="261"/>
      <c r="AE94" s="261"/>
      <c r="AF94" s="261"/>
      <c r="AG94" s="261"/>
      <c r="AH94" s="261"/>
      <c r="AI94" s="261"/>
      <c r="AJ94" s="261"/>
      <c r="AK94" s="261"/>
      <c r="AL94" s="261"/>
      <c r="AM94" s="261"/>
      <c r="AN94" s="261"/>
      <c r="AO94" s="261"/>
      <c r="AP94" s="261"/>
      <c r="AQ94" s="261"/>
      <c r="AR94" s="261"/>
      <c r="AS94" s="261"/>
      <c r="AT94" s="261"/>
      <c r="AU94" s="261"/>
      <c r="AV94" s="261"/>
      <c r="AW94" s="261"/>
      <c r="AX94" s="261"/>
      <c r="AY94" s="261"/>
      <c r="AZ94" s="261"/>
      <c r="BA94" s="261"/>
      <c r="BB94" s="261"/>
      <c r="BC94" s="261"/>
      <c r="BD94" s="261"/>
      <c r="BE94" s="261"/>
      <c r="BF94" s="261"/>
      <c r="BG94" s="261"/>
      <c r="BH94" s="261"/>
      <c r="BI94" s="261"/>
      <c r="BJ94" s="261"/>
      <c r="BK94" s="261"/>
      <c r="BL94" s="261"/>
      <c r="BM94" s="261"/>
      <c r="BN94" s="261"/>
      <c r="BO94" s="261"/>
      <c r="BP94" s="261"/>
    </row>
    <row r="95" spans="1:21" ht="23.25" customHeight="1">
      <c r="A95" s="2"/>
      <c r="B95" s="3"/>
      <c r="C95" s="3"/>
      <c r="D95" s="3"/>
      <c r="E95" s="3"/>
      <c r="F95" s="3"/>
      <c r="G95" s="3"/>
      <c r="H95" s="3"/>
      <c r="I95" s="148">
        <v>721</v>
      </c>
      <c r="J95" s="564" t="s">
        <v>421</v>
      </c>
      <c r="K95" s="565"/>
      <c r="L95" s="481">
        <f>1594/7.5345</f>
        <v>211.56015661291391</v>
      </c>
      <c r="M95" s="481">
        <f>2412.93/7.5345</f>
        <v>320.2508461079036</v>
      </c>
      <c r="N95" s="481">
        <v>2412.93</v>
      </c>
      <c r="O95" s="481">
        <f>2412.93/7.5345</f>
        <v>320.2508461079036</v>
      </c>
      <c r="P95" s="481">
        <v>0</v>
      </c>
      <c r="Q95" s="481">
        <v>360</v>
      </c>
      <c r="R95" s="481">
        <v>360</v>
      </c>
      <c r="S95" s="481">
        <f t="shared" si="18"/>
        <v>170.16436637390214</v>
      </c>
      <c r="T95" s="481">
        <f t="shared" si="19"/>
        <v>100</v>
      </c>
      <c r="U95" s="523" t="s">
        <v>678</v>
      </c>
    </row>
    <row r="96" spans="1:21" s="67" customFormat="1" ht="18" customHeight="1">
      <c r="A96" s="108"/>
      <c r="B96" s="68"/>
      <c r="C96" s="68"/>
      <c r="D96" s="68"/>
      <c r="E96" s="68"/>
      <c r="F96" s="68"/>
      <c r="G96" s="68"/>
      <c r="H96" s="68"/>
      <c r="I96" s="151">
        <v>722</v>
      </c>
      <c r="J96" s="158" t="s">
        <v>431</v>
      </c>
      <c r="K96" s="159"/>
      <c r="L96" s="481">
        <f>13693/7.5345</f>
        <v>1817.3734156214744</v>
      </c>
      <c r="M96" s="481"/>
      <c r="N96" s="481"/>
      <c r="O96" s="481"/>
      <c r="P96" s="481"/>
      <c r="Q96" s="481"/>
      <c r="R96" s="481"/>
      <c r="S96" s="481">
        <f t="shared" si="18"/>
        <v>0</v>
      </c>
      <c r="T96" s="481" t="e">
        <f t="shared" si="19"/>
        <v>#DIV/0!</v>
      </c>
      <c r="U96" s="523"/>
    </row>
    <row r="97" spans="1:21" s="67" customFormat="1" ht="21" customHeight="1">
      <c r="A97" s="108"/>
      <c r="B97" s="68"/>
      <c r="C97" s="68"/>
      <c r="D97" s="68"/>
      <c r="E97" s="68"/>
      <c r="F97" s="68"/>
      <c r="G97" s="68"/>
      <c r="H97" s="68"/>
      <c r="I97" s="105">
        <v>7221</v>
      </c>
      <c r="J97" s="158" t="s">
        <v>435</v>
      </c>
      <c r="K97" s="159"/>
      <c r="L97" s="481">
        <v>0</v>
      </c>
      <c r="M97" s="481">
        <f>13693.41/7.5345</f>
        <v>1817.4278319729244</v>
      </c>
      <c r="N97" s="481">
        <v>13693.41</v>
      </c>
      <c r="O97" s="481">
        <f>13693.41/7.5345</f>
        <v>1817.4278319729244</v>
      </c>
      <c r="P97" s="481">
        <v>0</v>
      </c>
      <c r="Q97" s="481">
        <v>0</v>
      </c>
      <c r="R97" s="481"/>
      <c r="S97" s="481" t="e">
        <f t="shared" si="18"/>
        <v>#DIV/0!</v>
      </c>
      <c r="T97" s="481" t="e">
        <f t="shared" si="19"/>
        <v>#DIV/0!</v>
      </c>
      <c r="U97" s="523"/>
    </row>
    <row r="98" spans="2:68" s="154" customFormat="1" ht="24" customHeight="1">
      <c r="B98" s="155"/>
      <c r="C98" s="155"/>
      <c r="D98" s="155"/>
      <c r="E98" s="155"/>
      <c r="F98" s="155"/>
      <c r="G98" s="155"/>
      <c r="H98" s="155"/>
      <c r="I98" s="153">
        <v>3</v>
      </c>
      <c r="J98" s="153" t="s">
        <v>448</v>
      </c>
      <c r="K98" s="153"/>
      <c r="L98" s="484">
        <f aca="true" t="shared" si="27" ref="L98:R98">L99+L103+L109+L114+L117+L120+L122</f>
        <v>1009944.1203331343</v>
      </c>
      <c r="M98" s="484">
        <f t="shared" si="27"/>
        <v>1162395.677452037</v>
      </c>
      <c r="N98" s="484">
        <f t="shared" si="27"/>
        <v>8360348.335679874</v>
      </c>
      <c r="O98" s="484">
        <f t="shared" si="27"/>
        <v>1277421.6617545956</v>
      </c>
      <c r="P98" s="484">
        <f t="shared" si="27"/>
        <v>542892.7399999999</v>
      </c>
      <c r="Q98" s="484">
        <f t="shared" si="27"/>
        <v>1225222.66</v>
      </c>
      <c r="R98" s="484">
        <f t="shared" si="27"/>
        <v>1211458.46</v>
      </c>
      <c r="S98" s="478">
        <f t="shared" si="18"/>
        <v>119.95301874725457</v>
      </c>
      <c r="T98" s="478">
        <f t="shared" si="19"/>
        <v>98.87659603030848</v>
      </c>
      <c r="U98" s="529"/>
      <c r="V98" s="261"/>
      <c r="W98" s="261"/>
      <c r="X98" s="261"/>
      <c r="Y98" s="261"/>
      <c r="Z98" s="261"/>
      <c r="AA98" s="261"/>
      <c r="AB98" s="261"/>
      <c r="AC98" s="261"/>
      <c r="AD98" s="261"/>
      <c r="AE98" s="261"/>
      <c r="AF98" s="261"/>
      <c r="AG98" s="261"/>
      <c r="AH98" s="261"/>
      <c r="AI98" s="261"/>
      <c r="AJ98" s="261"/>
      <c r="AK98" s="261"/>
      <c r="AL98" s="261"/>
      <c r="AM98" s="261"/>
      <c r="AN98" s="261"/>
      <c r="AO98" s="261"/>
      <c r="AP98" s="261"/>
      <c r="AQ98" s="261"/>
      <c r="AR98" s="261"/>
      <c r="AS98" s="261"/>
      <c r="AT98" s="261"/>
      <c r="AU98" s="261"/>
      <c r="AV98" s="261"/>
      <c r="AW98" s="261"/>
      <c r="AX98" s="261"/>
      <c r="AY98" s="261"/>
      <c r="AZ98" s="261"/>
      <c r="BA98" s="261"/>
      <c r="BB98" s="261"/>
      <c r="BC98" s="261"/>
      <c r="BD98" s="261"/>
      <c r="BE98" s="261"/>
      <c r="BF98" s="261"/>
      <c r="BG98" s="261"/>
      <c r="BH98" s="261"/>
      <c r="BI98" s="261"/>
      <c r="BJ98" s="261"/>
      <c r="BK98" s="261"/>
      <c r="BL98" s="261"/>
      <c r="BM98" s="261"/>
      <c r="BN98" s="261"/>
      <c r="BO98" s="261"/>
      <c r="BP98" s="261"/>
    </row>
    <row r="99" spans="1:68" s="14" customFormat="1" ht="22.5" customHeight="1">
      <c r="A99" s="14">
        <v>1</v>
      </c>
      <c r="B99" s="163"/>
      <c r="C99" s="163">
        <v>3</v>
      </c>
      <c r="D99" s="163">
        <v>4</v>
      </c>
      <c r="E99" s="163">
        <v>5</v>
      </c>
      <c r="F99" s="163"/>
      <c r="G99" s="163">
        <v>7</v>
      </c>
      <c r="H99" s="163"/>
      <c r="I99" s="293">
        <v>31</v>
      </c>
      <c r="J99" s="294" t="s">
        <v>2</v>
      </c>
      <c r="K99" s="294"/>
      <c r="L99" s="482">
        <f aca="true" t="shared" si="28" ref="L99:R99">L100+L101+L102</f>
        <v>222358.21885991105</v>
      </c>
      <c r="M99" s="482">
        <f t="shared" si="28"/>
        <v>254653.1262857522</v>
      </c>
      <c r="N99" s="482">
        <f t="shared" si="28"/>
        <v>1548355.7519158537</v>
      </c>
      <c r="O99" s="482">
        <f t="shared" si="28"/>
        <v>254653.1262857522</v>
      </c>
      <c r="P99" s="482">
        <f t="shared" si="28"/>
        <v>100406.53</v>
      </c>
      <c r="Q99" s="482">
        <f t="shared" si="28"/>
        <v>210679.41</v>
      </c>
      <c r="R99" s="482">
        <f t="shared" si="28"/>
        <v>211462.58000000002</v>
      </c>
      <c r="S99" s="481">
        <f t="shared" si="18"/>
        <v>95.09996126260776</v>
      </c>
      <c r="T99" s="481">
        <f t="shared" si="19"/>
        <v>100.37173542492835</v>
      </c>
      <c r="U99" s="529"/>
      <c r="V99" s="261"/>
      <c r="W99" s="261"/>
      <c r="X99" s="261"/>
      <c r="Y99" s="261"/>
      <c r="Z99" s="261"/>
      <c r="AA99" s="261"/>
      <c r="AB99" s="261"/>
      <c r="AC99" s="261"/>
      <c r="AD99" s="261"/>
      <c r="AE99" s="261"/>
      <c r="AF99" s="261"/>
      <c r="AG99" s="261"/>
      <c r="AH99" s="261"/>
      <c r="AI99" s="261"/>
      <c r="AJ99" s="261"/>
      <c r="AK99" s="261"/>
      <c r="AL99" s="261"/>
      <c r="AM99" s="261"/>
      <c r="AN99" s="261"/>
      <c r="AO99" s="261"/>
      <c r="AP99" s="261"/>
      <c r="AQ99" s="261"/>
      <c r="AR99" s="261"/>
      <c r="AS99" s="261"/>
      <c r="AT99" s="261"/>
      <c r="AU99" s="261"/>
      <c r="AV99" s="261"/>
      <c r="AW99" s="261"/>
      <c r="AX99" s="261"/>
      <c r="AY99" s="261"/>
      <c r="AZ99" s="261"/>
      <c r="BA99" s="261"/>
      <c r="BB99" s="261"/>
      <c r="BC99" s="261"/>
      <c r="BD99" s="261"/>
      <c r="BE99" s="261"/>
      <c r="BF99" s="261"/>
      <c r="BG99" s="261"/>
      <c r="BH99" s="261"/>
      <c r="BI99" s="261"/>
      <c r="BJ99" s="261"/>
      <c r="BK99" s="261"/>
      <c r="BL99" s="261"/>
      <c r="BM99" s="261"/>
      <c r="BN99" s="261"/>
      <c r="BO99" s="261"/>
      <c r="BP99" s="261"/>
    </row>
    <row r="100" spans="1:20" ht="21" customHeight="1">
      <c r="A100" s="2"/>
      <c r="B100" s="3"/>
      <c r="C100" s="3"/>
      <c r="D100" s="3"/>
      <c r="E100" s="3"/>
      <c r="F100" s="3"/>
      <c r="G100" s="3"/>
      <c r="H100" s="3"/>
      <c r="I100" s="5">
        <v>311</v>
      </c>
      <c r="J100" s="6" t="s">
        <v>281</v>
      </c>
      <c r="K100" s="7"/>
      <c r="L100" s="481">
        <f>'Posebni dio'!M105+'Posebni dio'!M137+'Posebni dio'!M412+'Posebni dio'!M676</f>
        <v>184973.123631296</v>
      </c>
      <c r="M100" s="481">
        <f>'Posebni dio'!N105+'Posebni dio'!N137+'Posebni dio'!N412+'Posebni dio'!N676</f>
        <v>211015.06403875505</v>
      </c>
      <c r="N100" s="481">
        <f>'Posebni dio'!O105+'Posebni dio'!O137+'Posebni dio'!O412+'Posebni dio'!O676</f>
        <v>1416437.561682925</v>
      </c>
      <c r="O100" s="481">
        <f>'Posebni dio'!P105+'Posebni dio'!P137+'Posebni dio'!P412+'Posebni dio'!P676</f>
        <v>211015.06403875505</v>
      </c>
      <c r="P100" s="481">
        <f>'Posebni dio'!Q105+'Posebni dio'!Q137+'Posebni dio'!Q412+'Posebni dio'!Q676</f>
        <v>80056.38</v>
      </c>
      <c r="Q100" s="481">
        <f>'Posebni dio'!R105+'Posebni dio'!R137+'Posebni dio'!R412+'Posebni dio'!R676</f>
        <v>172136.09</v>
      </c>
      <c r="R100" s="481">
        <f>'Posebni dio'!S105+'Posebni dio'!S137+'Posebni dio'!S412+'Posebni dio'!S676</f>
        <v>172808.65</v>
      </c>
      <c r="S100" s="481">
        <f t="shared" si="18"/>
        <v>93.4236534516532</v>
      </c>
      <c r="T100" s="481">
        <f t="shared" si="19"/>
        <v>100.39071411462872</v>
      </c>
    </row>
    <row r="101" spans="1:20" ht="21" customHeight="1">
      <c r="A101" s="2"/>
      <c r="B101" s="3"/>
      <c r="C101" s="3"/>
      <c r="D101" s="3"/>
      <c r="E101" s="3"/>
      <c r="F101" s="3"/>
      <c r="G101" s="3"/>
      <c r="H101" s="3"/>
      <c r="I101" s="5">
        <v>312</v>
      </c>
      <c r="J101" s="5" t="s">
        <v>3</v>
      </c>
      <c r="K101" s="5"/>
      <c r="L101" s="481">
        <f>'Posebni dio'!M108+'Posebni dio'!M140</f>
        <v>6869.865286349459</v>
      </c>
      <c r="M101" s="481">
        <f>'Posebni dio'!N108+'Posebni dio'!N140</f>
        <v>3746.67728449134</v>
      </c>
      <c r="N101" s="481">
        <f>'Posebni dio'!O108+'Posebni dio'!O140</f>
        <v>28229.34</v>
      </c>
      <c r="O101" s="481">
        <f>'Posebni dio'!P108+'Posebni dio'!P140</f>
        <v>3746.67728449134</v>
      </c>
      <c r="P101" s="481">
        <f>'Posebni dio'!Q108+'Posebni dio'!Q140</f>
        <v>7140.84</v>
      </c>
      <c r="Q101" s="481">
        <f>'Posebni dio'!R108+'Posebni dio'!R140</f>
        <v>10140.84</v>
      </c>
      <c r="R101" s="481">
        <f>'Posebni dio'!S108+'Posebni dio'!S140</f>
        <v>10140.48</v>
      </c>
      <c r="S101" s="481">
        <f t="shared" si="18"/>
        <v>147.6081346187284</v>
      </c>
      <c r="T101" s="481">
        <f t="shared" si="19"/>
        <v>99.99644999822499</v>
      </c>
    </row>
    <row r="102" spans="1:20" ht="26.25" customHeight="1">
      <c r="A102" s="2"/>
      <c r="B102" s="3"/>
      <c r="C102" s="3"/>
      <c r="D102" s="3"/>
      <c r="E102" s="3"/>
      <c r="F102" s="3"/>
      <c r="G102" s="3"/>
      <c r="H102" s="3"/>
      <c r="I102" s="5">
        <v>313</v>
      </c>
      <c r="J102" s="5" t="s">
        <v>4</v>
      </c>
      <c r="K102" s="5"/>
      <c r="L102" s="481">
        <f>'Posebni dio'!M110+'Posebni dio'!M147+'Posebni dio'!M414+'Posebni dio'!M678</f>
        <v>30515.229942265578</v>
      </c>
      <c r="M102" s="481">
        <f>'Posebni dio'!N110+'Posebni dio'!N147+'Posebni dio'!N414+'Posebni dio'!N678</f>
        <v>39891.38496250581</v>
      </c>
      <c r="N102" s="481">
        <f>'Posebni dio'!O110+'Posebni dio'!O147+'Posebni dio'!O414+'Posebni dio'!O678</f>
        <v>103688.85023292854</v>
      </c>
      <c r="O102" s="481">
        <f>'Posebni dio'!P110+'Posebni dio'!P147+'Posebni dio'!P414+'Posebni dio'!P678</f>
        <v>39891.38496250581</v>
      </c>
      <c r="P102" s="481">
        <f>'Posebni dio'!Q110+'Posebni dio'!Q147+'Posebni dio'!Q414+'Posebni dio'!Q678</f>
        <v>13209.31</v>
      </c>
      <c r="Q102" s="481">
        <f>'Posebni dio'!R110+'Posebni dio'!R147+'Posebni dio'!R414+'Posebni dio'!R678</f>
        <v>28402.48</v>
      </c>
      <c r="R102" s="481">
        <f>'Posebni dio'!S110+'Posebni dio'!S147+'Posebni dio'!S414+'Posebni dio'!S678</f>
        <v>28513.45</v>
      </c>
      <c r="S102" s="481">
        <f t="shared" si="18"/>
        <v>93.4400627291588</v>
      </c>
      <c r="T102" s="481">
        <f t="shared" si="19"/>
        <v>100.39070531869048</v>
      </c>
    </row>
    <row r="103" spans="2:68" s="14" customFormat="1" ht="23.25" customHeight="1">
      <c r="B103" s="163"/>
      <c r="C103" s="163"/>
      <c r="D103" s="163"/>
      <c r="E103" s="163"/>
      <c r="F103" s="163"/>
      <c r="G103" s="163"/>
      <c r="H103" s="163"/>
      <c r="I103" s="294">
        <v>32</v>
      </c>
      <c r="J103" s="294" t="s">
        <v>5</v>
      </c>
      <c r="K103" s="294"/>
      <c r="L103" s="482">
        <f aca="true" t="shared" si="29" ref="L103:R103">L104+L105+L106+L107+L108</f>
        <v>539502.1567456368</v>
      </c>
      <c r="M103" s="482">
        <f t="shared" si="29"/>
        <v>597836.3385722177</v>
      </c>
      <c r="N103" s="482">
        <f t="shared" si="29"/>
        <v>4782285.756464265</v>
      </c>
      <c r="O103" s="482">
        <f t="shared" si="29"/>
        <v>712862.318667463</v>
      </c>
      <c r="P103" s="482">
        <f t="shared" si="29"/>
        <v>287506.27999999997</v>
      </c>
      <c r="Q103" s="482">
        <f t="shared" si="29"/>
        <v>666928.58</v>
      </c>
      <c r="R103" s="482">
        <f t="shared" si="29"/>
        <v>660449.2699999999</v>
      </c>
      <c r="S103" s="481">
        <f t="shared" si="18"/>
        <v>122.41828169583889</v>
      </c>
      <c r="T103" s="481">
        <f t="shared" si="19"/>
        <v>99.0284851790277</v>
      </c>
      <c r="U103" s="529"/>
      <c r="V103" s="261"/>
      <c r="W103" s="261"/>
      <c r="X103" s="261"/>
      <c r="Y103" s="261"/>
      <c r="Z103" s="261"/>
      <c r="AA103" s="261"/>
      <c r="AB103" s="261"/>
      <c r="AC103" s="261"/>
      <c r="AD103" s="261"/>
      <c r="AE103" s="261"/>
      <c r="AF103" s="261"/>
      <c r="AG103" s="261"/>
      <c r="AH103" s="261"/>
      <c r="AI103" s="261"/>
      <c r="AJ103" s="261"/>
      <c r="AK103" s="261"/>
      <c r="AL103" s="261"/>
      <c r="AM103" s="261"/>
      <c r="AN103" s="261"/>
      <c r="AO103" s="261"/>
      <c r="AP103" s="261"/>
      <c r="AQ103" s="261"/>
      <c r="AR103" s="261"/>
      <c r="AS103" s="261"/>
      <c r="AT103" s="261"/>
      <c r="AU103" s="261"/>
      <c r="AV103" s="261"/>
      <c r="AW103" s="261"/>
      <c r="AX103" s="261"/>
      <c r="AY103" s="261"/>
      <c r="AZ103" s="261"/>
      <c r="BA103" s="261"/>
      <c r="BB103" s="261"/>
      <c r="BC103" s="261"/>
      <c r="BD103" s="261"/>
      <c r="BE103" s="261"/>
      <c r="BF103" s="261"/>
      <c r="BG103" s="261"/>
      <c r="BH103" s="261"/>
      <c r="BI103" s="261"/>
      <c r="BJ103" s="261"/>
      <c r="BK103" s="261"/>
      <c r="BL103" s="261"/>
      <c r="BM103" s="261"/>
      <c r="BN103" s="261"/>
      <c r="BO103" s="261"/>
      <c r="BP103" s="261"/>
    </row>
    <row r="104" spans="1:20" ht="24" customHeight="1">
      <c r="A104" s="2"/>
      <c r="B104" s="3"/>
      <c r="C104" s="3"/>
      <c r="D104" s="3"/>
      <c r="E104" s="3"/>
      <c r="F104" s="3"/>
      <c r="G104" s="3"/>
      <c r="H104" s="3"/>
      <c r="I104" s="5">
        <v>321</v>
      </c>
      <c r="J104" s="5" t="s">
        <v>6</v>
      </c>
      <c r="K104" s="5"/>
      <c r="L104" s="481">
        <f>'Posebni dio'!M113+'Posebni dio'!M151+'Posebni dio'!M417+'Posebni dio'!M681</f>
        <v>10407.591744641315</v>
      </c>
      <c r="M104" s="481">
        <f>'Posebni dio'!N113+'Posebni dio'!N151+'Posebni dio'!N417+'Posebni dio'!N681</f>
        <v>18676.753600106174</v>
      </c>
      <c r="N104" s="481">
        <f>'Posebni dio'!O113+'Posebni dio'!O151+'Posebni dio'!O417+'Posebni dio'!O681</f>
        <v>97356.1404207313</v>
      </c>
      <c r="O104" s="481">
        <f>'Posebni dio'!P113+'Posebni dio'!P151+'Posebni dio'!P417+'Posebni dio'!P681</f>
        <v>18676.753600106174</v>
      </c>
      <c r="P104" s="481">
        <f>'Posebni dio'!Q113+'Posebni dio'!Q151+'Posebni dio'!Q417+'Posebni dio'!Q681</f>
        <v>5277.030000000001</v>
      </c>
      <c r="Q104" s="481">
        <f>'Posebni dio'!R113+'Posebni dio'!R151+'Posebni dio'!R417+'Posebni dio'!R681</f>
        <v>12250.81</v>
      </c>
      <c r="R104" s="481">
        <f>'Posebni dio'!S113+'Posebni dio'!S151+'Posebni dio'!S417+'Posebni dio'!S681</f>
        <v>12335.75</v>
      </c>
      <c r="S104" s="481">
        <f t="shared" si="18"/>
        <v>118.5264593641604</v>
      </c>
      <c r="T104" s="481">
        <f t="shared" si="19"/>
        <v>100.69334190963698</v>
      </c>
    </row>
    <row r="105" spans="1:20" ht="24.75" customHeight="1">
      <c r="A105" s="2"/>
      <c r="B105" s="3"/>
      <c r="C105" s="3"/>
      <c r="D105" s="3"/>
      <c r="E105" s="3"/>
      <c r="F105" s="3"/>
      <c r="G105" s="3"/>
      <c r="H105" s="3"/>
      <c r="I105" s="5">
        <v>322</v>
      </c>
      <c r="J105" s="5" t="s">
        <v>282</v>
      </c>
      <c r="K105" s="5"/>
      <c r="L105" s="481">
        <f>'Posebni dio'!M63+'Posebni dio'!M76+'Posebni dio'!M156+'Posebni dio'!M352+'Posebni dio'!M384+'Posebni dio'!M420+'Posebni dio'!M439+'Posebni dio'!M589+'Posebni dio'!M683+'Posebni dio'!M606+'Posebni dio'!M272</f>
        <v>121756.71909217599</v>
      </c>
      <c r="M105" s="481">
        <f>'Posebni dio'!N63+'Posebni dio'!N76+'Posebni dio'!N156+'Posebni dio'!N352+'Posebni dio'!N384+'Posebni dio'!N420+'Posebni dio'!N439+'Posebni dio'!N589+'Posebni dio'!N683+'Posebni dio'!N606+'Posebni dio'!N272</f>
        <v>137127.56498971398</v>
      </c>
      <c r="N105" s="481">
        <f>'Posebni dio'!O63+'Posebni dio'!O76+'Posebni dio'!O156+'Posebni dio'!O352+'Posebni dio'!O384+'Posebni dio'!O420+'Posebni dio'!O439+'Posebni dio'!O589+'Posebni dio'!O683+'Posebni dio'!O606+'Posebni dio'!O272</f>
        <v>1015842.0961682926</v>
      </c>
      <c r="O105" s="481">
        <f>'Posebni dio'!P63+'Posebni dio'!P76+'Posebni dio'!P156+'Posebni dio'!P352+'Posebni dio'!P384+'Posebni dio'!P420+'Posebni dio'!P439+'Posebni dio'!P589+'Posebni dio'!P683+'Posebni dio'!P606+'Posebni dio'!P272</f>
        <v>137127.56520007964</v>
      </c>
      <c r="P105" s="481">
        <f>'Posebni dio'!Q63+'Posebni dio'!Q76+'Posebni dio'!Q156+'Posebni dio'!Q352+'Posebni dio'!Q384+'Posebni dio'!Q420+'Posebni dio'!Q439+'Posebni dio'!Q589+'Posebni dio'!Q683+'Posebni dio'!Q606+'Posebni dio'!Q272</f>
        <v>68943.9</v>
      </c>
      <c r="Q105" s="481">
        <f>'Posebni dio'!R63+'Posebni dio'!R76+'Posebni dio'!R156+'Posebni dio'!R352+'Posebni dio'!R384+'Posebni dio'!R420+'Posebni dio'!R439+'Posebni dio'!R589+'Posebni dio'!R683+'Posebni dio'!R606+'Posebni dio'!R272</f>
        <v>130949.75</v>
      </c>
      <c r="R105" s="481">
        <f>'Posebni dio'!S63+'Posebni dio'!S76+'Posebni dio'!S156+'Posebni dio'!S352+'Posebni dio'!S384+'Posebni dio'!S420+'Posebni dio'!S439+'Posebni dio'!S589+'Posebni dio'!S683+'Posebni dio'!S606+'Posebni dio'!S272</f>
        <v>141001.41999999998</v>
      </c>
      <c r="S105" s="481">
        <f t="shared" si="18"/>
        <v>115.80586357066241</v>
      </c>
      <c r="T105" s="481">
        <f t="shared" si="19"/>
        <v>107.67597494458752</v>
      </c>
    </row>
    <row r="106" spans="1:20" ht="23.25" customHeight="1">
      <c r="A106" s="2"/>
      <c r="B106" s="3"/>
      <c r="C106" s="3"/>
      <c r="D106" s="3"/>
      <c r="E106" s="3"/>
      <c r="F106" s="3"/>
      <c r="G106" s="3"/>
      <c r="H106" s="3"/>
      <c r="I106" s="5">
        <v>323</v>
      </c>
      <c r="J106" s="5" t="s">
        <v>7</v>
      </c>
      <c r="K106" s="5"/>
      <c r="L106" s="481">
        <f>'Posebni dio'!M21+'Posebni dio'!M78+'Posebni dio'!M161+'Posebni dio'!M217+'Posebni dio'!M291+'Posebni dio'!M366+'Posebni dio'!M386+'Posebni dio'!M425+'Posebni dio'!M441+'Posebni dio'!M466+'Posebni dio'!M545+'Posebni dio'!M643+'Posebni dio'!M687+'Posebni dio'!M703+'Posebni dio'!M354+'Posebni dio'!M274+'Posebni dio'!M454+'Posebni dio'!M480</f>
        <v>360333.9305859712</v>
      </c>
      <c r="M106" s="481">
        <f>'Posebni dio'!N21+'Posebni dio'!N78+'Posebni dio'!N161+'Posebni dio'!N217+'Posebni dio'!N291+'Posebni dio'!N366+'Posebni dio'!N386+'Posebni dio'!N425+'Posebni dio'!N441+'Posebni dio'!N466+'Posebni dio'!N545+'Posebni dio'!N643+'Posebni dio'!N687+'Posebni dio'!N703+'Posebni dio'!N354+'Posebni dio'!N274+'Posebni dio'!N454+'Posebni dio'!N480</f>
        <v>366507.03491371346</v>
      </c>
      <c r="N106" s="481">
        <f>'Posebni dio'!O21+'Posebni dio'!O78+'Posebni dio'!O161+'Posebni dio'!O217+'Posebni dio'!O291+'Posebni dio'!O366+'Posebni dio'!O386+'Posebni dio'!O425+'Posebni dio'!O441+'Posebni dio'!O466+'Posebni dio'!O545+'Posebni dio'!O643+'Posebni dio'!O687+'Posebni dio'!O703+'Posebni dio'!O354+'Posebni dio'!O274+'Posebni dio'!O454+'Posebni dio'!O480</f>
        <v>3195445.0109496317</v>
      </c>
      <c r="O106" s="481">
        <f>'Posebni dio'!P21+'Posebni dio'!P78+'Posebni dio'!P161+'Posebni dio'!P217+'Posebni dio'!P291+'Posebni dio'!P366+'Posebni dio'!P386+'Posebni dio'!P425+'Posebni dio'!P441+'Posebni dio'!P466+'Posebni dio'!P545+'Posebni dio'!P643+'Posebni dio'!P687+'Posebni dio'!P703+'Posebni dio'!P354+'Posebni dio'!P274+'Posebni dio'!P454+'Posebni dio'!P480</f>
        <v>481533.0147985931</v>
      </c>
      <c r="P106" s="481">
        <f>'Posebni dio'!Q21+'Posebni dio'!Q78+'Posebni dio'!Q161+'Posebni dio'!Q217+'Posebni dio'!Q291+'Posebni dio'!Q366+'Posebni dio'!Q386+'Posebni dio'!Q425+'Posebni dio'!Q441+'Posebni dio'!Q466+'Posebni dio'!Q545+'Posebni dio'!Q643+'Posebni dio'!Q687+'Posebni dio'!Q703+'Posebni dio'!Q354+'Posebni dio'!Q274+'Posebni dio'!Q454+'Posebni dio'!Q480</f>
        <v>185833.09999999998</v>
      </c>
      <c r="Q106" s="481">
        <f>'Posebni dio'!R21+'Posebni dio'!R78+'Posebni dio'!R161+'Posebni dio'!R217+'Posebni dio'!R291+'Posebni dio'!R366+'Posebni dio'!R386+'Posebni dio'!R425+'Posebni dio'!R441+'Posebni dio'!R466+'Posebni dio'!R545+'Posebni dio'!R643+'Posebni dio'!R687+'Posebni dio'!R703+'Posebni dio'!R354+'Posebni dio'!R274+'Posebni dio'!R454+'Posebni dio'!R480</f>
        <v>469634.7</v>
      </c>
      <c r="R106" s="481">
        <f>'Posebni dio'!S21+'Posebni dio'!S78+'Posebni dio'!S161+'Posebni dio'!S217+'Posebni dio'!S291+'Posebni dio'!S366+'Posebni dio'!S386+'Posebni dio'!S425+'Posebni dio'!S441+'Posebni dio'!S466+'Posebni dio'!S545+'Posebni dio'!S643+'Posebni dio'!S687+'Posebni dio'!S703+'Posebni dio'!S354+'Posebni dio'!S274+'Posebni dio'!S454+'Posebni dio'!S480</f>
        <v>449292.26</v>
      </c>
      <c r="S106" s="481">
        <f t="shared" si="18"/>
        <v>124.68774707654251</v>
      </c>
      <c r="T106" s="481">
        <f t="shared" si="19"/>
        <v>95.6684546520945</v>
      </c>
    </row>
    <row r="107" spans="1:20" ht="23.25" customHeight="1">
      <c r="A107" s="2"/>
      <c r="B107" s="3"/>
      <c r="C107" s="3"/>
      <c r="D107" s="3"/>
      <c r="E107" s="3"/>
      <c r="F107" s="3"/>
      <c r="G107" s="3"/>
      <c r="H107" s="3"/>
      <c r="I107" s="5">
        <v>324</v>
      </c>
      <c r="J107" s="5" t="s">
        <v>283</v>
      </c>
      <c r="K107" s="5"/>
      <c r="L107" s="481">
        <f>'Posebni dio'!M184</f>
        <v>1894.6180901187868</v>
      </c>
      <c r="M107" s="481">
        <f>'Posebni dio'!N184</f>
        <v>1327.2280841462605</v>
      </c>
      <c r="N107" s="481">
        <f>'Posebni dio'!O184</f>
        <v>10000</v>
      </c>
      <c r="O107" s="481">
        <f>'Posebni dio'!P184</f>
        <v>1327.2280841462605</v>
      </c>
      <c r="P107" s="481">
        <f>'Posebni dio'!Q184</f>
        <v>1095.31</v>
      </c>
      <c r="Q107" s="481">
        <f>'Posebni dio'!R184</f>
        <v>2382</v>
      </c>
      <c r="R107" s="481">
        <f>'Posebni dio'!S184</f>
        <v>2411.72</v>
      </c>
      <c r="S107" s="481">
        <f t="shared" si="18"/>
        <v>127.29320028021016</v>
      </c>
      <c r="T107" s="481">
        <f t="shared" si="19"/>
        <v>101.24769101595297</v>
      </c>
    </row>
    <row r="108" spans="1:20" ht="24" customHeight="1">
      <c r="A108" s="2"/>
      <c r="B108" s="3"/>
      <c r="C108" s="3"/>
      <c r="D108" s="3"/>
      <c r="E108" s="3"/>
      <c r="F108" s="3"/>
      <c r="G108" s="3"/>
      <c r="H108" s="3"/>
      <c r="I108" s="5">
        <v>329</v>
      </c>
      <c r="J108" s="5" t="s">
        <v>284</v>
      </c>
      <c r="K108" s="5"/>
      <c r="L108" s="481">
        <f>'Posebni dio'!M23+'Posebni dio'!M68+'Posebni dio'!M90+'Posebni dio'!M115+'Posebni dio'!M187+'Posebni dio'!M323+'Posebni dio'!M636+'Posebni dio'!M692</f>
        <v>45109.29723272944</v>
      </c>
      <c r="M108" s="481">
        <f>'Posebni dio'!N23+'Posebni dio'!N68+'Posebni dio'!N90+'Posebni dio'!N115+'Posebni dio'!N187+'Posebni dio'!N323+'Posebni dio'!N636+'Posebni dio'!N692</f>
        <v>74197.7569845378</v>
      </c>
      <c r="N108" s="481">
        <f>'Posebni dio'!O23+'Posebni dio'!O68+'Posebni dio'!O90+'Posebni dio'!O115+'Posebni dio'!O187+'Posebni dio'!O323+'Posebni dio'!O636+'Posebni dio'!O692</f>
        <v>463642.5089256089</v>
      </c>
      <c r="O108" s="481">
        <f>'Posebni dio'!P23+'Posebni dio'!P68+'Posebni dio'!P90+'Posebni dio'!P115+'Posebni dio'!P187+'Posebni dio'!P323+'Posebni dio'!P636+'Posebni dio'!P692</f>
        <v>74197.7569845378</v>
      </c>
      <c r="P108" s="481">
        <f>'Posebni dio'!Q23+'Posebni dio'!Q68+'Posebni dio'!Q90+'Posebni dio'!Q115+'Posebni dio'!Q187+'Posebni dio'!Q323+'Posebni dio'!Q636+'Posebni dio'!Q692</f>
        <v>26356.940000000002</v>
      </c>
      <c r="Q108" s="481">
        <f>'Posebni dio'!R23+'Posebni dio'!R68+'Posebni dio'!R90+'Posebni dio'!R115+'Posebni dio'!R187+'Posebni dio'!R323+'Posebni dio'!R636+'Posebni dio'!R692</f>
        <v>51711.32</v>
      </c>
      <c r="R108" s="481">
        <f>'Posebni dio'!S23+'Posebni dio'!S68+'Posebni dio'!S90+'Posebni dio'!S115+'Posebni dio'!S187+'Posebni dio'!S323+'Posebni dio'!S636+'Posebni dio'!S692</f>
        <v>55408.119999999995</v>
      </c>
      <c r="S108" s="481">
        <f t="shared" si="18"/>
        <v>122.83082069342936</v>
      </c>
      <c r="T108" s="481">
        <f t="shared" si="19"/>
        <v>107.14891826393138</v>
      </c>
    </row>
    <row r="109" spans="2:68" s="14" customFormat="1" ht="22.5" customHeight="1">
      <c r="B109" s="163"/>
      <c r="C109" s="163"/>
      <c r="D109" s="163"/>
      <c r="E109" s="163"/>
      <c r="F109" s="163"/>
      <c r="G109" s="163"/>
      <c r="H109" s="163"/>
      <c r="I109" s="293">
        <v>34</v>
      </c>
      <c r="J109" s="294" t="s">
        <v>8</v>
      </c>
      <c r="K109" s="294"/>
      <c r="L109" s="482">
        <f aca="true" t="shared" si="30" ref="L109:R109">L110+L111</f>
        <v>13409.781670980157</v>
      </c>
      <c r="M109" s="482">
        <f t="shared" si="30"/>
        <v>13655.239232862166</v>
      </c>
      <c r="N109" s="482">
        <f t="shared" si="30"/>
        <v>102885.4</v>
      </c>
      <c r="O109" s="482">
        <f t="shared" si="30"/>
        <v>13655.239232862166</v>
      </c>
      <c r="P109" s="482">
        <f t="shared" si="30"/>
        <v>17439.100000000002</v>
      </c>
      <c r="Q109" s="482">
        <f t="shared" si="30"/>
        <v>36600</v>
      </c>
      <c r="R109" s="482">
        <f t="shared" si="30"/>
        <v>34742.08</v>
      </c>
      <c r="S109" s="481">
        <f t="shared" si="18"/>
        <v>259.08013159665865</v>
      </c>
      <c r="T109" s="481">
        <f t="shared" si="19"/>
        <v>94.92371584699454</v>
      </c>
      <c r="U109" s="529"/>
      <c r="V109" s="261"/>
      <c r="W109" s="261"/>
      <c r="X109" s="261"/>
      <c r="Y109" s="261"/>
      <c r="Z109" s="261"/>
      <c r="AA109" s="261"/>
      <c r="AB109" s="261"/>
      <c r="AC109" s="261"/>
      <c r="AD109" s="261"/>
      <c r="AE109" s="261"/>
      <c r="AF109" s="261"/>
      <c r="AG109" s="261"/>
      <c r="AH109" s="261"/>
      <c r="AI109" s="261"/>
      <c r="AJ109" s="261"/>
      <c r="AK109" s="261"/>
      <c r="AL109" s="261"/>
      <c r="AM109" s="261"/>
      <c r="AN109" s="261"/>
      <c r="AO109" s="261"/>
      <c r="AP109" s="261"/>
      <c r="AQ109" s="261"/>
      <c r="AR109" s="261"/>
      <c r="AS109" s="261"/>
      <c r="AT109" s="261"/>
      <c r="AU109" s="261"/>
      <c r="AV109" s="261"/>
      <c r="AW109" s="261"/>
      <c r="AX109" s="261"/>
      <c r="AY109" s="261"/>
      <c r="AZ109" s="261"/>
      <c r="BA109" s="261"/>
      <c r="BB109" s="261"/>
      <c r="BC109" s="261"/>
      <c r="BD109" s="261"/>
      <c r="BE109" s="261"/>
      <c r="BF109" s="261"/>
      <c r="BG109" s="261"/>
      <c r="BH109" s="261"/>
      <c r="BI109" s="261"/>
      <c r="BJ109" s="261"/>
      <c r="BK109" s="261"/>
      <c r="BL109" s="261"/>
      <c r="BM109" s="261"/>
      <c r="BN109" s="261"/>
      <c r="BO109" s="261"/>
      <c r="BP109" s="261"/>
    </row>
    <row r="110" spans="1:20" ht="21" customHeight="1">
      <c r="A110" s="2"/>
      <c r="B110" s="3"/>
      <c r="C110" s="3"/>
      <c r="D110" s="3"/>
      <c r="E110" s="3"/>
      <c r="F110" s="3"/>
      <c r="G110" s="3"/>
      <c r="H110" s="3"/>
      <c r="I110" s="5">
        <v>342</v>
      </c>
      <c r="J110" s="5" t="s">
        <v>423</v>
      </c>
      <c r="K110" s="5"/>
      <c r="L110" s="481">
        <f>'Posebni dio'!M194</f>
        <v>6927.068816776163</v>
      </c>
      <c r="M110" s="481">
        <f>'Posebni dio'!N194</f>
        <v>7019.098812130864</v>
      </c>
      <c r="N110" s="481">
        <f>'Posebni dio'!O194</f>
        <v>52885.399999999994</v>
      </c>
      <c r="O110" s="481">
        <f>'Posebni dio'!P194</f>
        <v>7019.098812130864</v>
      </c>
      <c r="P110" s="481">
        <f>'Posebni dio'!Q194</f>
        <v>976.08</v>
      </c>
      <c r="Q110" s="481">
        <f>'Posebni dio'!R194</f>
        <v>1000</v>
      </c>
      <c r="R110" s="481">
        <f>'Posebni dio'!S194</f>
        <v>1097.21</v>
      </c>
      <c r="S110" s="481">
        <f t="shared" si="18"/>
        <v>15.839455749923362</v>
      </c>
      <c r="T110" s="481">
        <f t="shared" si="19"/>
        <v>109.721</v>
      </c>
    </row>
    <row r="111" spans="1:20" ht="18" customHeight="1">
      <c r="A111" s="2"/>
      <c r="B111" s="3"/>
      <c r="C111" s="3"/>
      <c r="D111" s="3"/>
      <c r="E111" s="3"/>
      <c r="F111" s="3"/>
      <c r="G111" s="3"/>
      <c r="H111" s="3"/>
      <c r="I111" s="5">
        <v>343</v>
      </c>
      <c r="J111" s="5" t="s">
        <v>9</v>
      </c>
      <c r="K111" s="5"/>
      <c r="L111" s="481">
        <f>'Posebni dio'!M196</f>
        <v>6482.7128542039945</v>
      </c>
      <c r="M111" s="481">
        <f>'Posebni dio'!N196</f>
        <v>6636.140420731303</v>
      </c>
      <c r="N111" s="481">
        <f>'Posebni dio'!O196</f>
        <v>50000</v>
      </c>
      <c r="O111" s="481">
        <f>'Posebni dio'!P196</f>
        <v>6636.140420731303</v>
      </c>
      <c r="P111" s="481">
        <f>'Posebni dio'!Q196</f>
        <v>16463.02</v>
      </c>
      <c r="Q111" s="481">
        <f>'Posebni dio'!R196</f>
        <v>35600</v>
      </c>
      <c r="R111" s="481">
        <f>'Posebni dio'!S196</f>
        <v>33644.87</v>
      </c>
      <c r="S111" s="481">
        <f t="shared" si="18"/>
        <v>518.9936799095079</v>
      </c>
      <c r="T111" s="481">
        <f t="shared" si="19"/>
        <v>94.50806179775282</v>
      </c>
    </row>
    <row r="112" spans="1:20" ht="0.75" customHeight="1">
      <c r="A112" s="2"/>
      <c r="B112" s="3"/>
      <c r="C112" s="3"/>
      <c r="D112" s="3"/>
      <c r="E112" s="3"/>
      <c r="F112" s="3"/>
      <c r="G112" s="3"/>
      <c r="H112" s="3"/>
      <c r="I112" s="5">
        <v>35</v>
      </c>
      <c r="J112" s="6" t="s">
        <v>10</v>
      </c>
      <c r="K112" s="7"/>
      <c r="L112" s="482"/>
      <c r="M112" s="482"/>
      <c r="N112" s="482"/>
      <c r="O112" s="482"/>
      <c r="P112" s="482"/>
      <c r="Q112" s="482"/>
      <c r="R112" s="482"/>
      <c r="S112" s="481" t="e">
        <f t="shared" si="18"/>
        <v>#DIV/0!</v>
      </c>
      <c r="T112" s="481" t="e">
        <f t="shared" si="19"/>
        <v>#DIV/0!</v>
      </c>
    </row>
    <row r="113" spans="1:20" ht="20.25" customHeight="1" hidden="1">
      <c r="A113" s="2"/>
      <c r="B113" s="3"/>
      <c r="C113" s="3"/>
      <c r="D113" s="3"/>
      <c r="E113" s="3"/>
      <c r="F113" s="3"/>
      <c r="G113" s="3"/>
      <c r="H113" s="3"/>
      <c r="I113" s="5">
        <v>352</v>
      </c>
      <c r="J113" s="564" t="s">
        <v>285</v>
      </c>
      <c r="K113" s="565"/>
      <c r="L113" s="482"/>
      <c r="M113" s="482"/>
      <c r="N113" s="482"/>
      <c r="O113" s="482"/>
      <c r="P113" s="482"/>
      <c r="Q113" s="482"/>
      <c r="R113" s="482"/>
      <c r="S113" s="481" t="e">
        <f t="shared" si="18"/>
        <v>#DIV/0!</v>
      </c>
      <c r="T113" s="481" t="e">
        <f t="shared" si="19"/>
        <v>#DIV/0!</v>
      </c>
    </row>
    <row r="114" spans="2:68" s="14" customFormat="1" ht="18" customHeight="1">
      <c r="B114" s="163"/>
      <c r="C114" s="163"/>
      <c r="D114" s="163"/>
      <c r="E114" s="163"/>
      <c r="F114" s="163"/>
      <c r="G114" s="163"/>
      <c r="H114" s="163"/>
      <c r="I114" s="293">
        <v>35</v>
      </c>
      <c r="J114" s="295" t="s">
        <v>10</v>
      </c>
      <c r="K114" s="296"/>
      <c r="L114" s="482">
        <f aca="true" t="shared" si="31" ref="L114:R114">L115+L116</f>
        <v>13272.280841462605</v>
      </c>
      <c r="M114" s="482">
        <f t="shared" si="31"/>
        <v>26544.56168292521</v>
      </c>
      <c r="N114" s="482">
        <f t="shared" si="31"/>
        <v>200000</v>
      </c>
      <c r="O114" s="482">
        <f t="shared" si="31"/>
        <v>26544.56168292521</v>
      </c>
      <c r="P114" s="482">
        <f t="shared" si="31"/>
        <v>13280</v>
      </c>
      <c r="Q114" s="482">
        <f t="shared" si="31"/>
        <v>26556</v>
      </c>
      <c r="R114" s="482">
        <f t="shared" si="31"/>
        <v>26556</v>
      </c>
      <c r="S114" s="481">
        <f t="shared" si="18"/>
        <v>200.08618199999998</v>
      </c>
      <c r="T114" s="481">
        <f t="shared" si="19"/>
        <v>100</v>
      </c>
      <c r="U114" s="529"/>
      <c r="V114" s="261"/>
      <c r="W114" s="261"/>
      <c r="X114" s="261"/>
      <c r="Y114" s="261"/>
      <c r="Z114" s="261"/>
      <c r="AA114" s="261"/>
      <c r="AB114" s="261"/>
      <c r="AC114" s="261"/>
      <c r="AD114" s="261"/>
      <c r="AE114" s="261"/>
      <c r="AF114" s="261"/>
      <c r="AG114" s="261"/>
      <c r="AH114" s="261"/>
      <c r="AI114" s="261"/>
      <c r="AJ114" s="261"/>
      <c r="AK114" s="261"/>
      <c r="AL114" s="261"/>
      <c r="AM114" s="261"/>
      <c r="AN114" s="261"/>
      <c r="AO114" s="261"/>
      <c r="AP114" s="261"/>
      <c r="AQ114" s="261"/>
      <c r="AR114" s="261"/>
      <c r="AS114" s="261"/>
      <c r="AT114" s="261"/>
      <c r="AU114" s="261"/>
      <c r="AV114" s="261"/>
      <c r="AW114" s="261"/>
      <c r="AX114" s="261"/>
      <c r="AY114" s="261"/>
      <c r="AZ114" s="261"/>
      <c r="BA114" s="261"/>
      <c r="BB114" s="261"/>
      <c r="BC114" s="261"/>
      <c r="BD114" s="261"/>
      <c r="BE114" s="261"/>
      <c r="BF114" s="261"/>
      <c r="BG114" s="261"/>
      <c r="BH114" s="261"/>
      <c r="BI114" s="261"/>
      <c r="BJ114" s="261"/>
      <c r="BK114" s="261"/>
      <c r="BL114" s="261"/>
      <c r="BM114" s="261"/>
      <c r="BN114" s="261"/>
      <c r="BO114" s="261"/>
      <c r="BP114" s="261"/>
    </row>
    <row r="115" spans="1:20" ht="23.25" customHeight="1">
      <c r="A115" s="2"/>
      <c r="B115" s="3"/>
      <c r="C115" s="3"/>
      <c r="D115" s="3"/>
      <c r="E115" s="3"/>
      <c r="F115" s="3"/>
      <c r="G115" s="3"/>
      <c r="H115" s="3"/>
      <c r="I115" s="5">
        <v>351</v>
      </c>
      <c r="J115" s="70" t="s">
        <v>385</v>
      </c>
      <c r="K115" s="71"/>
      <c r="L115" s="481">
        <f>'Posebni dio'!M394+'Posebni dio'!M277</f>
        <v>13272.280841462605</v>
      </c>
      <c r="M115" s="481">
        <f>'Posebni dio'!N394+'Posebni dio'!N277</f>
        <v>26544.56168292521</v>
      </c>
      <c r="N115" s="481">
        <f>'Posebni dio'!O394+'Posebni dio'!O277</f>
        <v>200000</v>
      </c>
      <c r="O115" s="481">
        <f>'Posebni dio'!P394+'Posebni dio'!P277</f>
        <v>26544.56168292521</v>
      </c>
      <c r="P115" s="481">
        <f>'Posebni dio'!Q394+'Posebni dio'!Q277</f>
        <v>13280</v>
      </c>
      <c r="Q115" s="481">
        <f>'Posebni dio'!R394+'Posebni dio'!R277</f>
        <v>26556</v>
      </c>
      <c r="R115" s="481">
        <f>'Posebni dio'!S394+'Posebni dio'!S277</f>
        <v>26556</v>
      </c>
      <c r="S115" s="481">
        <f t="shared" si="18"/>
        <v>200.08618199999998</v>
      </c>
      <c r="T115" s="481">
        <f t="shared" si="19"/>
        <v>100</v>
      </c>
    </row>
    <row r="116" spans="1:20" ht="21.75" customHeight="1">
      <c r="A116" s="2"/>
      <c r="B116" s="3"/>
      <c r="C116" s="3"/>
      <c r="D116" s="3"/>
      <c r="E116" s="3"/>
      <c r="F116" s="3"/>
      <c r="G116" s="3"/>
      <c r="H116" s="3"/>
      <c r="I116" s="5">
        <v>352</v>
      </c>
      <c r="J116" s="70" t="s">
        <v>380</v>
      </c>
      <c r="K116" s="71"/>
      <c r="L116" s="481"/>
      <c r="M116" s="481"/>
      <c r="N116" s="481"/>
      <c r="O116" s="481"/>
      <c r="P116" s="481"/>
      <c r="Q116" s="481"/>
      <c r="R116" s="481"/>
      <c r="S116" s="481" t="e">
        <f aca="true" t="shared" si="32" ref="S116:S157">R116/L116*100</f>
        <v>#DIV/0!</v>
      </c>
      <c r="T116" s="481" t="e">
        <f t="shared" si="19"/>
        <v>#DIV/0!</v>
      </c>
    </row>
    <row r="117" spans="2:68" s="14" customFormat="1" ht="24" customHeight="1">
      <c r="B117" s="163"/>
      <c r="C117" s="163"/>
      <c r="D117" s="163"/>
      <c r="E117" s="163"/>
      <c r="F117" s="163"/>
      <c r="G117" s="163"/>
      <c r="H117" s="163"/>
      <c r="I117" s="293">
        <v>36</v>
      </c>
      <c r="J117" s="298" t="s">
        <v>429</v>
      </c>
      <c r="K117" s="297"/>
      <c r="L117" s="482">
        <f aca="true" t="shared" si="33" ref="L117:R117">L118+L119</f>
        <v>0</v>
      </c>
      <c r="M117" s="482">
        <f t="shared" si="33"/>
        <v>0</v>
      </c>
      <c r="N117" s="482">
        <f t="shared" si="33"/>
        <v>0</v>
      </c>
      <c r="O117" s="482">
        <f t="shared" si="33"/>
        <v>0</v>
      </c>
      <c r="P117" s="482">
        <f t="shared" si="33"/>
        <v>0</v>
      </c>
      <c r="Q117" s="482">
        <f t="shared" si="33"/>
        <v>0</v>
      </c>
      <c r="R117" s="482">
        <f t="shared" si="33"/>
        <v>0</v>
      </c>
      <c r="S117" s="481" t="e">
        <f t="shared" si="32"/>
        <v>#DIV/0!</v>
      </c>
      <c r="T117" s="481" t="e">
        <f aca="true" t="shared" si="34" ref="T117:T158">R117/Q117*100</f>
        <v>#DIV/0!</v>
      </c>
      <c r="U117" s="529"/>
      <c r="V117" s="261"/>
      <c r="W117" s="261"/>
      <c r="X117" s="261"/>
      <c r="Y117" s="261"/>
      <c r="Z117" s="261"/>
      <c r="AA117" s="261"/>
      <c r="AB117" s="261"/>
      <c r="AC117" s="261"/>
      <c r="AD117" s="261"/>
      <c r="AE117" s="261"/>
      <c r="AF117" s="261"/>
      <c r="AG117" s="261"/>
      <c r="AH117" s="261"/>
      <c r="AI117" s="261"/>
      <c r="AJ117" s="261"/>
      <c r="AK117" s="261"/>
      <c r="AL117" s="261"/>
      <c r="AM117" s="261"/>
      <c r="AN117" s="261"/>
      <c r="AO117" s="261"/>
      <c r="AP117" s="261"/>
      <c r="AQ117" s="261"/>
      <c r="AR117" s="261"/>
      <c r="AS117" s="261"/>
      <c r="AT117" s="261"/>
      <c r="AU117" s="261"/>
      <c r="AV117" s="261"/>
      <c r="AW117" s="261"/>
      <c r="AX117" s="261"/>
      <c r="AY117" s="261"/>
      <c r="AZ117" s="261"/>
      <c r="BA117" s="261"/>
      <c r="BB117" s="261"/>
      <c r="BC117" s="261"/>
      <c r="BD117" s="261"/>
      <c r="BE117" s="261"/>
      <c r="BF117" s="261"/>
      <c r="BG117" s="261"/>
      <c r="BH117" s="261"/>
      <c r="BI117" s="261"/>
      <c r="BJ117" s="261"/>
      <c r="BK117" s="261"/>
      <c r="BL117" s="261"/>
      <c r="BM117" s="261"/>
      <c r="BN117" s="261"/>
      <c r="BO117" s="261"/>
      <c r="BP117" s="261"/>
    </row>
    <row r="118" spans="1:20" ht="0.75" customHeight="1">
      <c r="A118" s="2"/>
      <c r="B118" s="3"/>
      <c r="C118" s="3"/>
      <c r="D118" s="3"/>
      <c r="E118" s="3"/>
      <c r="F118" s="3"/>
      <c r="G118" s="3"/>
      <c r="H118" s="3"/>
      <c r="I118" s="5">
        <v>363</v>
      </c>
      <c r="J118" s="70" t="s">
        <v>428</v>
      </c>
      <c r="K118" s="71"/>
      <c r="L118" s="481"/>
      <c r="M118" s="481"/>
      <c r="N118" s="481"/>
      <c r="O118" s="481"/>
      <c r="P118" s="481"/>
      <c r="Q118" s="481"/>
      <c r="R118" s="481"/>
      <c r="S118" s="481" t="e">
        <f t="shared" si="32"/>
        <v>#DIV/0!</v>
      </c>
      <c r="T118" s="481" t="e">
        <f t="shared" si="34"/>
        <v>#DIV/0!</v>
      </c>
    </row>
    <row r="119" spans="1:20" ht="24" customHeight="1" hidden="1">
      <c r="A119" s="2"/>
      <c r="B119" s="3"/>
      <c r="C119" s="3"/>
      <c r="D119" s="3"/>
      <c r="E119" s="3"/>
      <c r="F119" s="3"/>
      <c r="G119" s="3"/>
      <c r="H119" s="3"/>
      <c r="I119" s="5">
        <v>366</v>
      </c>
      <c r="J119" s="70" t="s">
        <v>458</v>
      </c>
      <c r="K119" s="71"/>
      <c r="L119" s="481"/>
      <c r="M119" s="481"/>
      <c r="N119" s="481"/>
      <c r="O119" s="481"/>
      <c r="P119" s="481"/>
      <c r="Q119" s="481"/>
      <c r="R119" s="481"/>
      <c r="S119" s="481" t="e">
        <f t="shared" si="32"/>
        <v>#DIV/0!</v>
      </c>
      <c r="T119" s="481" t="e">
        <f t="shared" si="34"/>
        <v>#DIV/0!</v>
      </c>
    </row>
    <row r="120" spans="2:68" s="14" customFormat="1" ht="20.25" customHeight="1">
      <c r="B120" s="163"/>
      <c r="C120" s="163"/>
      <c r="D120" s="163"/>
      <c r="E120" s="163"/>
      <c r="F120" s="163"/>
      <c r="G120" s="163"/>
      <c r="H120" s="163"/>
      <c r="I120" s="293">
        <v>37</v>
      </c>
      <c r="J120" s="294" t="s">
        <v>286</v>
      </c>
      <c r="K120" s="294"/>
      <c r="L120" s="482">
        <f aca="true" t="shared" si="35" ref="L120:R120">L121</f>
        <v>85231.92974318138</v>
      </c>
      <c r="M120" s="482">
        <f t="shared" si="35"/>
        <v>92905.96210365651</v>
      </c>
      <c r="N120" s="482">
        <f t="shared" si="35"/>
        <v>700000</v>
      </c>
      <c r="O120" s="482">
        <f t="shared" si="35"/>
        <v>92905.96589023824</v>
      </c>
      <c r="P120" s="482">
        <f t="shared" si="35"/>
        <v>55977.29</v>
      </c>
      <c r="Q120" s="482">
        <f t="shared" si="35"/>
        <v>122253.92000000001</v>
      </c>
      <c r="R120" s="482">
        <f t="shared" si="35"/>
        <v>120462.41</v>
      </c>
      <c r="S120" s="481">
        <f t="shared" si="32"/>
        <v>141.33483820321115</v>
      </c>
      <c r="T120" s="481">
        <f t="shared" si="34"/>
        <v>98.53459913596227</v>
      </c>
      <c r="U120" s="529"/>
      <c r="V120" s="261"/>
      <c r="W120" s="261"/>
      <c r="X120" s="261"/>
      <c r="Y120" s="261"/>
      <c r="Z120" s="261"/>
      <c r="AA120" s="261"/>
      <c r="AB120" s="261"/>
      <c r="AC120" s="261"/>
      <c r="AD120" s="261"/>
      <c r="AE120" s="261"/>
      <c r="AF120" s="261"/>
      <c r="AG120" s="261"/>
      <c r="AH120" s="261"/>
      <c r="AI120" s="261"/>
      <c r="AJ120" s="261"/>
      <c r="AK120" s="261"/>
      <c r="AL120" s="261"/>
      <c r="AM120" s="261"/>
      <c r="AN120" s="261"/>
      <c r="AO120" s="261"/>
      <c r="AP120" s="261"/>
      <c r="AQ120" s="261"/>
      <c r="AR120" s="261"/>
      <c r="AS120" s="261"/>
      <c r="AT120" s="261"/>
      <c r="AU120" s="261"/>
      <c r="AV120" s="261"/>
      <c r="AW120" s="261"/>
      <c r="AX120" s="261"/>
      <c r="AY120" s="261"/>
      <c r="AZ120" s="261"/>
      <c r="BA120" s="261"/>
      <c r="BB120" s="261"/>
      <c r="BC120" s="261"/>
      <c r="BD120" s="261"/>
      <c r="BE120" s="261"/>
      <c r="BF120" s="261"/>
      <c r="BG120" s="261"/>
      <c r="BH120" s="261"/>
      <c r="BI120" s="261"/>
      <c r="BJ120" s="261"/>
      <c r="BK120" s="261"/>
      <c r="BL120" s="261"/>
      <c r="BM120" s="261"/>
      <c r="BN120" s="261"/>
      <c r="BO120" s="261"/>
      <c r="BP120" s="261"/>
    </row>
    <row r="121" spans="1:20" ht="23.25" customHeight="1">
      <c r="A121" s="2"/>
      <c r="B121" s="3"/>
      <c r="C121" s="3"/>
      <c r="D121" s="3"/>
      <c r="E121" s="3"/>
      <c r="F121" s="3"/>
      <c r="G121" s="3"/>
      <c r="H121" s="3"/>
      <c r="I121" s="148">
        <v>372</v>
      </c>
      <c r="J121" s="5" t="s">
        <v>326</v>
      </c>
      <c r="K121" s="5"/>
      <c r="L121" s="481">
        <f>'Posebni dio'!M340+'Posebni dio'!M609+'Posebni dio'!M623+'Posebni dio'!M668</f>
        <v>85231.92974318138</v>
      </c>
      <c r="M121" s="481">
        <f>'Posebni dio'!N340+'Posebni dio'!N609+'Posebni dio'!N623+'Posebni dio'!N668</f>
        <v>92905.96210365651</v>
      </c>
      <c r="N121" s="481">
        <f>'Posebni dio'!O340+'Posebni dio'!O609+'Posebni dio'!O623+'Posebni dio'!O668</f>
        <v>700000</v>
      </c>
      <c r="O121" s="481">
        <f>'Posebni dio'!P340+'Posebni dio'!P609+'Posebni dio'!P623+'Posebni dio'!P668</f>
        <v>92905.96589023824</v>
      </c>
      <c r="P121" s="481">
        <f>'Posebni dio'!Q340+'Posebni dio'!Q609+'Posebni dio'!Q623+'Posebni dio'!Q668</f>
        <v>55977.29</v>
      </c>
      <c r="Q121" s="481">
        <f>'Posebni dio'!R340+'Posebni dio'!R609+'Posebni dio'!R623+'Posebni dio'!R668</f>
        <v>122253.92000000001</v>
      </c>
      <c r="R121" s="481">
        <f>'Posebni dio'!S340+'Posebni dio'!S609+'Posebni dio'!S623+'Posebni dio'!S668</f>
        <v>120462.41</v>
      </c>
      <c r="S121" s="481">
        <f t="shared" si="32"/>
        <v>141.33483820321115</v>
      </c>
      <c r="T121" s="481">
        <f t="shared" si="34"/>
        <v>98.53459913596227</v>
      </c>
    </row>
    <row r="122" spans="2:68" s="14" customFormat="1" ht="24.75" customHeight="1">
      <c r="B122" s="163"/>
      <c r="C122" s="163"/>
      <c r="D122" s="163"/>
      <c r="E122" s="163"/>
      <c r="F122" s="163"/>
      <c r="G122" s="163"/>
      <c r="H122" s="163"/>
      <c r="I122" s="293">
        <v>38</v>
      </c>
      <c r="J122" s="294" t="s">
        <v>77</v>
      </c>
      <c r="K122" s="294"/>
      <c r="L122" s="482">
        <f aca="true" t="shared" si="36" ref="L122:R122">L123+L125+L126+L129+L130</f>
        <v>136169.75247196227</v>
      </c>
      <c r="M122" s="482">
        <f t="shared" si="36"/>
        <v>176800.44957462343</v>
      </c>
      <c r="N122" s="482">
        <f t="shared" si="36"/>
        <v>1026821.4272997545</v>
      </c>
      <c r="O122" s="482">
        <f t="shared" si="36"/>
        <v>176800.44999535472</v>
      </c>
      <c r="P122" s="482">
        <f t="shared" si="36"/>
        <v>68283.54</v>
      </c>
      <c r="Q122" s="482">
        <f t="shared" si="36"/>
        <v>162204.75</v>
      </c>
      <c r="R122" s="482">
        <f t="shared" si="36"/>
        <v>157786.12</v>
      </c>
      <c r="S122" s="481">
        <f t="shared" si="32"/>
        <v>115.87457356397015</v>
      </c>
      <c r="T122" s="481">
        <f t="shared" si="34"/>
        <v>97.27589358511388</v>
      </c>
      <c r="U122" s="529"/>
      <c r="V122" s="261"/>
      <c r="W122" s="261"/>
      <c r="X122" s="261"/>
      <c r="Y122" s="261"/>
      <c r="Z122" s="261"/>
      <c r="AA122" s="261"/>
      <c r="AB122" s="261"/>
      <c r="AC122" s="261"/>
      <c r="AD122" s="261"/>
      <c r="AE122" s="261"/>
      <c r="AF122" s="261"/>
      <c r="AG122" s="261"/>
      <c r="AH122" s="261"/>
      <c r="AI122" s="261"/>
      <c r="AJ122" s="261"/>
      <c r="AK122" s="261"/>
      <c r="AL122" s="261"/>
      <c r="AM122" s="261"/>
      <c r="AN122" s="261"/>
      <c r="AO122" s="261"/>
      <c r="AP122" s="261"/>
      <c r="AQ122" s="261"/>
      <c r="AR122" s="261"/>
      <c r="AS122" s="261"/>
      <c r="AT122" s="261"/>
      <c r="AU122" s="261"/>
      <c r="AV122" s="261"/>
      <c r="AW122" s="261"/>
      <c r="AX122" s="261"/>
      <c r="AY122" s="261"/>
      <c r="AZ122" s="261"/>
      <c r="BA122" s="261"/>
      <c r="BB122" s="261"/>
      <c r="BC122" s="261"/>
      <c r="BD122" s="261"/>
      <c r="BE122" s="261"/>
      <c r="BF122" s="261"/>
      <c r="BG122" s="261"/>
      <c r="BH122" s="261"/>
      <c r="BI122" s="261"/>
      <c r="BJ122" s="261"/>
      <c r="BK122" s="261"/>
      <c r="BL122" s="261"/>
      <c r="BM122" s="261"/>
      <c r="BN122" s="261"/>
      <c r="BO122" s="261"/>
      <c r="BP122" s="261"/>
    </row>
    <row r="123" spans="1:20" ht="20.25" customHeight="1">
      <c r="A123" s="2"/>
      <c r="B123" s="3"/>
      <c r="C123" s="3"/>
      <c r="D123" s="3"/>
      <c r="E123" s="3"/>
      <c r="F123" s="3"/>
      <c r="G123" s="3"/>
      <c r="H123" s="3"/>
      <c r="I123" s="5">
        <v>381</v>
      </c>
      <c r="J123" s="5" t="s">
        <v>12</v>
      </c>
      <c r="K123" s="5"/>
      <c r="L123" s="481">
        <f>'Posebni dio'!M34+'Posebni dio'!M53+'Posebni dio'!M93+'Posebni dio'!M201+'Posebni dio'!M265+'Posebni dio'!M343+'Posebni dio'!M592+'Posebni dio'!M632+'Posebni dio'!M646+'Posebni dio'!M660+'Posebni dio'!M694+'Posebni dio'!M614</f>
        <v>136169.75247196227</v>
      </c>
      <c r="M123" s="481">
        <f>'Posebni dio'!N34+'Posebni dio'!N53+'Posebni dio'!N93+'Posebni dio'!N201+'Posebni dio'!N265+'Posebni dio'!N343+'Posebni dio'!N592+'Posebni dio'!N632+'Posebni dio'!N646+'Posebni dio'!N660+'Posebni dio'!N694+'Posebni dio'!N614</f>
        <v>172818.76532218466</v>
      </c>
      <c r="N123" s="481">
        <f>'Posebni dio'!O34+'Posebni dio'!O53+'Posebni dio'!O93+'Posebni dio'!O201+'Posebni dio'!O265+'Posebni dio'!O343+'Posebni dio'!O592+'Posebni dio'!O632+'Posebni dio'!O646+'Posebni dio'!O660+'Posebni dio'!O694+'Posebni dio'!O614</f>
        <v>996821.4272997545</v>
      </c>
      <c r="O123" s="481">
        <f>'Posebni dio'!P34+'Posebni dio'!P53+'Posebni dio'!P93+'Posebni dio'!P201+'Posebni dio'!P265+'Posebni dio'!P343+'Posebni dio'!P592+'Posebni dio'!P632+'Posebni dio'!P646+'Posebni dio'!P660+'Posebni dio'!P694+'Posebni dio'!P614</f>
        <v>172818.76574291594</v>
      </c>
      <c r="P123" s="481">
        <f>'Posebni dio'!Q34+'Posebni dio'!Q53+'Posebni dio'!Q93+'Posebni dio'!Q201+'Posebni dio'!Q265+'Posebni dio'!Q343+'Posebni dio'!Q592+'Posebni dio'!Q632+'Posebni dio'!Q646+'Posebni dio'!Q660+'Posebni dio'!Q694+'Posebni dio'!Q614</f>
        <v>68283.54</v>
      </c>
      <c r="Q123" s="481">
        <f>'Posebni dio'!R34+'Posebni dio'!R53+'Posebni dio'!R93+'Posebni dio'!R201+'Posebni dio'!R265+'Posebni dio'!R343+'Posebni dio'!R592+'Posebni dio'!R632+'Posebni dio'!R646+'Posebni dio'!R660+'Posebni dio'!R694+'Posebni dio'!R614</f>
        <v>160877.52</v>
      </c>
      <c r="R123" s="481">
        <f>'Posebni dio'!S34+'Posebni dio'!S53+'Posebni dio'!S93+'Posebni dio'!S201+'Posebni dio'!S265+'Posebni dio'!S343+'Posebni dio'!S592+'Posebni dio'!S632+'Posebni dio'!S646+'Posebni dio'!S660+'Posebni dio'!S694+'Posebni dio'!S614</f>
        <v>157786.12</v>
      </c>
      <c r="S123" s="481">
        <f t="shared" si="32"/>
        <v>115.87457356397015</v>
      </c>
      <c r="T123" s="481">
        <f t="shared" si="34"/>
        <v>98.07841393875292</v>
      </c>
    </row>
    <row r="124" spans="1:20" ht="21" customHeight="1" hidden="1">
      <c r="A124" s="2"/>
      <c r="B124" s="3"/>
      <c r="C124" s="3"/>
      <c r="D124" s="3"/>
      <c r="E124" s="3"/>
      <c r="F124" s="3"/>
      <c r="G124" s="3"/>
      <c r="H124" s="3"/>
      <c r="I124" s="5">
        <v>382</v>
      </c>
      <c r="J124" s="5" t="s">
        <v>287</v>
      </c>
      <c r="K124" s="5"/>
      <c r="L124" s="481"/>
      <c r="M124" s="481"/>
      <c r="N124" s="481"/>
      <c r="O124" s="481"/>
      <c r="P124" s="481"/>
      <c r="Q124" s="481"/>
      <c r="R124" s="481"/>
      <c r="S124" s="481" t="e">
        <f t="shared" si="32"/>
        <v>#DIV/0!</v>
      </c>
      <c r="T124" s="481" t="e">
        <f t="shared" si="34"/>
        <v>#DIV/0!</v>
      </c>
    </row>
    <row r="125" spans="1:20" ht="25.5" customHeight="1" hidden="1">
      <c r="A125" s="2"/>
      <c r="B125" s="3"/>
      <c r="C125" s="3"/>
      <c r="D125" s="3"/>
      <c r="E125" s="3"/>
      <c r="F125" s="3"/>
      <c r="G125" s="3"/>
      <c r="H125" s="3"/>
      <c r="I125" s="5">
        <v>382</v>
      </c>
      <c r="J125" s="5" t="s">
        <v>432</v>
      </c>
      <c r="K125" s="5"/>
      <c r="L125" s="481"/>
      <c r="M125" s="481"/>
      <c r="N125" s="481"/>
      <c r="O125" s="481"/>
      <c r="P125" s="481"/>
      <c r="Q125" s="481"/>
      <c r="R125" s="481"/>
      <c r="S125" s="481" t="e">
        <f t="shared" si="32"/>
        <v>#DIV/0!</v>
      </c>
      <c r="T125" s="481" t="e">
        <f t="shared" si="34"/>
        <v>#DIV/0!</v>
      </c>
    </row>
    <row r="126" spans="1:20" ht="21" customHeight="1">
      <c r="A126" s="2"/>
      <c r="B126" s="3"/>
      <c r="C126" s="3"/>
      <c r="D126" s="3"/>
      <c r="E126" s="3"/>
      <c r="F126" s="3"/>
      <c r="G126" s="3"/>
      <c r="H126" s="3"/>
      <c r="I126" s="5">
        <v>383</v>
      </c>
      <c r="J126" s="5" t="s">
        <v>288</v>
      </c>
      <c r="K126" s="5"/>
      <c r="L126" s="481">
        <f>'Posebni dio'!M230</f>
        <v>0</v>
      </c>
      <c r="M126" s="481">
        <f>'Posebni dio'!N230</f>
        <v>2654.456168292521</v>
      </c>
      <c r="N126" s="481">
        <f>'Posebni dio'!O230</f>
        <v>20000</v>
      </c>
      <c r="O126" s="481">
        <f>'Posebni dio'!P230</f>
        <v>2654.456168292521</v>
      </c>
      <c r="P126" s="481">
        <f>'Posebni dio'!Q230</f>
        <v>0</v>
      </c>
      <c r="Q126" s="481">
        <f>'Posebni dio'!R230</f>
        <v>0</v>
      </c>
      <c r="R126" s="481">
        <f>'Posebni dio'!S230</f>
        <v>0</v>
      </c>
      <c r="S126" s="481" t="e">
        <f t="shared" si="32"/>
        <v>#DIV/0!</v>
      </c>
      <c r="T126" s="481" t="e">
        <f t="shared" si="34"/>
        <v>#DIV/0!</v>
      </c>
    </row>
    <row r="127" spans="1:20" ht="24.75" customHeight="1" hidden="1">
      <c r="A127" s="2"/>
      <c r="B127" s="3"/>
      <c r="C127" s="3"/>
      <c r="D127" s="3"/>
      <c r="E127" s="3"/>
      <c r="F127" s="3"/>
      <c r="G127" s="3"/>
      <c r="H127" s="3"/>
      <c r="I127" s="5">
        <v>385</v>
      </c>
      <c r="J127" s="5" t="s">
        <v>289</v>
      </c>
      <c r="K127" s="5"/>
      <c r="L127" s="481"/>
      <c r="M127" s="481"/>
      <c r="N127" s="481"/>
      <c r="O127" s="481"/>
      <c r="P127" s="481"/>
      <c r="Q127" s="481"/>
      <c r="R127" s="481"/>
      <c r="S127" s="481" t="e">
        <f t="shared" si="32"/>
        <v>#DIV/0!</v>
      </c>
      <c r="T127" s="481" t="e">
        <f t="shared" si="34"/>
        <v>#DIV/0!</v>
      </c>
    </row>
    <row r="128" spans="1:20" ht="24" customHeight="1" hidden="1">
      <c r="A128" s="2"/>
      <c r="B128" s="3"/>
      <c r="C128" s="3"/>
      <c r="D128" s="3"/>
      <c r="E128" s="3"/>
      <c r="F128" s="3"/>
      <c r="G128" s="3"/>
      <c r="H128" s="3"/>
      <c r="I128" s="5">
        <v>386</v>
      </c>
      <c r="J128" s="5" t="s">
        <v>290</v>
      </c>
      <c r="K128" s="5"/>
      <c r="L128" s="481"/>
      <c r="M128" s="481"/>
      <c r="N128" s="481"/>
      <c r="O128" s="481"/>
      <c r="P128" s="481"/>
      <c r="Q128" s="481"/>
      <c r="R128" s="481"/>
      <c r="S128" s="481" t="e">
        <f t="shared" si="32"/>
        <v>#DIV/0!</v>
      </c>
      <c r="T128" s="481" t="e">
        <f t="shared" si="34"/>
        <v>#DIV/0!</v>
      </c>
    </row>
    <row r="129" spans="1:20" ht="24.75" customHeight="1">
      <c r="A129" s="2"/>
      <c r="B129" s="3"/>
      <c r="C129" s="3"/>
      <c r="D129" s="3"/>
      <c r="E129" s="3"/>
      <c r="F129" s="3"/>
      <c r="G129" s="3"/>
      <c r="H129" s="3"/>
      <c r="I129" s="5">
        <v>385</v>
      </c>
      <c r="J129" s="6" t="s">
        <v>434</v>
      </c>
      <c r="K129" s="7"/>
      <c r="L129" s="481">
        <f>'Posebni dio'!M124</f>
        <v>0</v>
      </c>
      <c r="M129" s="481">
        <f>'Posebni dio'!N124</f>
        <v>1327.2280841462605</v>
      </c>
      <c r="N129" s="481">
        <f>'Posebni dio'!O124</f>
        <v>10000</v>
      </c>
      <c r="O129" s="481">
        <f>'Posebni dio'!P124</f>
        <v>1327.2280841462605</v>
      </c>
      <c r="P129" s="481">
        <f>'Posebni dio'!Q124</f>
        <v>0</v>
      </c>
      <c r="Q129" s="481">
        <f>'Posebni dio'!R124</f>
        <v>1327.23</v>
      </c>
      <c r="R129" s="481">
        <f>'Posebni dio'!S124</f>
        <v>0</v>
      </c>
      <c r="S129" s="481" t="e">
        <f t="shared" si="32"/>
        <v>#DIV/0!</v>
      </c>
      <c r="T129" s="481">
        <f t="shared" si="34"/>
        <v>0</v>
      </c>
    </row>
    <row r="130" spans="1:20" ht="26.25" customHeight="1">
      <c r="A130" s="2"/>
      <c r="B130" s="3"/>
      <c r="C130" s="3"/>
      <c r="D130" s="3"/>
      <c r="E130" s="3"/>
      <c r="F130" s="3"/>
      <c r="G130" s="3"/>
      <c r="H130" s="3"/>
      <c r="I130" s="5">
        <v>386</v>
      </c>
      <c r="J130" s="564" t="s">
        <v>290</v>
      </c>
      <c r="K130" s="565"/>
      <c r="L130" s="481"/>
      <c r="M130" s="481"/>
      <c r="N130" s="481"/>
      <c r="O130" s="481"/>
      <c r="P130" s="481"/>
      <c r="Q130" s="481"/>
      <c r="R130" s="481"/>
      <c r="S130" s="481" t="e">
        <f t="shared" si="32"/>
        <v>#DIV/0!</v>
      </c>
      <c r="T130" s="481" t="e">
        <f t="shared" si="34"/>
        <v>#DIV/0!</v>
      </c>
    </row>
    <row r="131" spans="1:20" ht="27.75" customHeight="1" hidden="1">
      <c r="A131" s="2"/>
      <c r="B131" s="3"/>
      <c r="C131" s="3"/>
      <c r="D131" s="3"/>
      <c r="E131" s="3"/>
      <c r="F131" s="3"/>
      <c r="G131" s="3"/>
      <c r="H131" s="3"/>
      <c r="I131" s="5">
        <v>38612</v>
      </c>
      <c r="J131" s="568" t="s">
        <v>426</v>
      </c>
      <c r="K131" s="569"/>
      <c r="L131" s="482"/>
      <c r="M131" s="482"/>
      <c r="N131" s="482"/>
      <c r="O131" s="482"/>
      <c r="P131" s="482"/>
      <c r="Q131" s="482"/>
      <c r="R131" s="482"/>
      <c r="S131" s="481" t="e">
        <f t="shared" si="32"/>
        <v>#DIV/0!</v>
      </c>
      <c r="T131" s="481" t="e">
        <f t="shared" si="34"/>
        <v>#DIV/0!</v>
      </c>
    </row>
    <row r="132" spans="1:20" ht="29.25" customHeight="1" hidden="1">
      <c r="A132" s="2"/>
      <c r="B132" s="3"/>
      <c r="C132" s="3"/>
      <c r="D132" s="3"/>
      <c r="E132" s="3"/>
      <c r="F132" s="3"/>
      <c r="G132" s="3"/>
      <c r="H132" s="3"/>
      <c r="I132" s="5">
        <v>38612</v>
      </c>
      <c r="J132" s="568" t="s">
        <v>427</v>
      </c>
      <c r="K132" s="569"/>
      <c r="L132" s="482"/>
      <c r="M132" s="482"/>
      <c r="N132" s="482"/>
      <c r="O132" s="482"/>
      <c r="P132" s="482"/>
      <c r="Q132" s="482"/>
      <c r="R132" s="482"/>
      <c r="S132" s="478" t="e">
        <f t="shared" si="32"/>
        <v>#DIV/0!</v>
      </c>
      <c r="T132" s="481" t="e">
        <f t="shared" si="34"/>
        <v>#DIV/0!</v>
      </c>
    </row>
    <row r="133" spans="2:68" s="154" customFormat="1" ht="23.25" customHeight="1">
      <c r="B133" s="155"/>
      <c r="C133" s="155"/>
      <c r="D133" s="155"/>
      <c r="E133" s="155"/>
      <c r="F133" s="155">
        <v>6</v>
      </c>
      <c r="G133" s="155">
        <v>7</v>
      </c>
      <c r="H133" s="155"/>
      <c r="I133" s="153">
        <v>4</v>
      </c>
      <c r="J133" s="153" t="s">
        <v>449</v>
      </c>
      <c r="K133" s="153"/>
      <c r="L133" s="484">
        <f aca="true" t="shared" si="37" ref="L133:R133">L134+L136+L142</f>
        <v>255970.40281372351</v>
      </c>
      <c r="M133" s="484">
        <f t="shared" si="37"/>
        <v>716036.0746651472</v>
      </c>
      <c r="N133" s="484">
        <f t="shared" si="37"/>
        <v>4633699.883365851</v>
      </c>
      <c r="O133" s="484">
        <f t="shared" si="37"/>
        <v>746673.8173070542</v>
      </c>
      <c r="P133" s="484">
        <f t="shared" si="37"/>
        <v>143938.55</v>
      </c>
      <c r="Q133" s="484">
        <f t="shared" si="37"/>
        <v>385547.41</v>
      </c>
      <c r="R133" s="484">
        <f t="shared" si="37"/>
        <v>324428.66</v>
      </c>
      <c r="S133" s="478">
        <f t="shared" si="32"/>
        <v>126.74459876366852</v>
      </c>
      <c r="T133" s="478">
        <f t="shared" si="34"/>
        <v>84.1475397279935</v>
      </c>
      <c r="U133" s="529"/>
      <c r="V133" s="261"/>
      <c r="W133" s="261"/>
      <c r="X133" s="261"/>
      <c r="Y133" s="261"/>
      <c r="Z133" s="261"/>
      <c r="AA133" s="261"/>
      <c r="AB133" s="261"/>
      <c r="AC133" s="261"/>
      <c r="AD133" s="261"/>
      <c r="AE133" s="261"/>
      <c r="AF133" s="261"/>
      <c r="AG133" s="261"/>
      <c r="AH133" s="261"/>
      <c r="AI133" s="261"/>
      <c r="AJ133" s="261"/>
      <c r="AK133" s="261"/>
      <c r="AL133" s="261"/>
      <c r="AM133" s="261"/>
      <c r="AN133" s="261"/>
      <c r="AO133" s="261"/>
      <c r="AP133" s="261"/>
      <c r="AQ133" s="261"/>
      <c r="AR133" s="261"/>
      <c r="AS133" s="261"/>
      <c r="AT133" s="261"/>
      <c r="AU133" s="261"/>
      <c r="AV133" s="261"/>
      <c r="AW133" s="261"/>
      <c r="AX133" s="261"/>
      <c r="AY133" s="261"/>
      <c r="AZ133" s="261"/>
      <c r="BA133" s="261"/>
      <c r="BB133" s="261"/>
      <c r="BC133" s="261"/>
      <c r="BD133" s="261"/>
      <c r="BE133" s="261"/>
      <c r="BF133" s="261"/>
      <c r="BG133" s="261"/>
      <c r="BH133" s="261"/>
      <c r="BI133" s="261"/>
      <c r="BJ133" s="261"/>
      <c r="BK133" s="261"/>
      <c r="BL133" s="261"/>
      <c r="BM133" s="261"/>
      <c r="BN133" s="261"/>
      <c r="BO133" s="261"/>
      <c r="BP133" s="261"/>
    </row>
    <row r="134" spans="2:68" s="14" customFormat="1" ht="18.75" customHeight="1">
      <c r="B134" s="163"/>
      <c r="C134" s="163"/>
      <c r="D134" s="163"/>
      <c r="E134" s="163"/>
      <c r="F134" s="163"/>
      <c r="G134" s="163"/>
      <c r="H134" s="163"/>
      <c r="I134" s="293">
        <v>41</v>
      </c>
      <c r="J134" s="294" t="s">
        <v>450</v>
      </c>
      <c r="K134" s="294"/>
      <c r="L134" s="482">
        <f aca="true" t="shared" si="38" ref="L134:R134">L135</f>
        <v>0</v>
      </c>
      <c r="M134" s="482">
        <f t="shared" si="38"/>
        <v>0</v>
      </c>
      <c r="N134" s="482">
        <f t="shared" si="38"/>
        <v>0</v>
      </c>
      <c r="O134" s="482">
        <f t="shared" si="38"/>
        <v>0</v>
      </c>
      <c r="P134" s="482">
        <f t="shared" si="38"/>
        <v>0</v>
      </c>
      <c r="Q134" s="482">
        <f t="shared" si="38"/>
        <v>0</v>
      </c>
      <c r="R134" s="482">
        <f t="shared" si="38"/>
        <v>0</v>
      </c>
      <c r="S134" s="481" t="e">
        <f t="shared" si="32"/>
        <v>#DIV/0!</v>
      </c>
      <c r="T134" s="481" t="e">
        <f t="shared" si="34"/>
        <v>#DIV/0!</v>
      </c>
      <c r="U134" s="529"/>
      <c r="V134" s="261"/>
      <c r="W134" s="261"/>
      <c r="X134" s="261"/>
      <c r="Y134" s="261"/>
      <c r="Z134" s="261"/>
      <c r="AA134" s="261"/>
      <c r="AB134" s="261"/>
      <c r="AC134" s="261"/>
      <c r="AD134" s="261"/>
      <c r="AE134" s="261"/>
      <c r="AF134" s="261"/>
      <c r="AG134" s="261"/>
      <c r="AH134" s="261"/>
      <c r="AI134" s="261"/>
      <c r="AJ134" s="261"/>
      <c r="AK134" s="261"/>
      <c r="AL134" s="261"/>
      <c r="AM134" s="261"/>
      <c r="AN134" s="261"/>
      <c r="AO134" s="261"/>
      <c r="AP134" s="261"/>
      <c r="AQ134" s="261"/>
      <c r="AR134" s="261"/>
      <c r="AS134" s="261"/>
      <c r="AT134" s="261"/>
      <c r="AU134" s="261"/>
      <c r="AV134" s="261"/>
      <c r="AW134" s="261"/>
      <c r="AX134" s="261"/>
      <c r="AY134" s="261"/>
      <c r="AZ134" s="261"/>
      <c r="BA134" s="261"/>
      <c r="BB134" s="261"/>
      <c r="BC134" s="261"/>
      <c r="BD134" s="261"/>
      <c r="BE134" s="261"/>
      <c r="BF134" s="261"/>
      <c r="BG134" s="261"/>
      <c r="BH134" s="261"/>
      <c r="BI134" s="261"/>
      <c r="BJ134" s="261"/>
      <c r="BK134" s="261"/>
      <c r="BL134" s="261"/>
      <c r="BM134" s="261"/>
      <c r="BN134" s="261"/>
      <c r="BO134" s="261"/>
      <c r="BP134" s="261"/>
    </row>
    <row r="135" spans="1:20" ht="19.5" customHeight="1">
      <c r="A135" s="2"/>
      <c r="B135" s="3"/>
      <c r="C135" s="3"/>
      <c r="D135" s="3"/>
      <c r="E135" s="3"/>
      <c r="F135" s="3"/>
      <c r="G135" s="3"/>
      <c r="H135" s="3"/>
      <c r="I135" s="5">
        <v>411</v>
      </c>
      <c r="J135" s="5" t="s">
        <v>321</v>
      </c>
      <c r="K135" s="5"/>
      <c r="L135" s="481">
        <f>'Posebni dio'!M514</f>
        <v>0</v>
      </c>
      <c r="M135" s="481">
        <f>'Posebni dio'!N514</f>
        <v>0</v>
      </c>
      <c r="N135" s="481">
        <f>'Posebni dio'!O514</f>
        <v>0</v>
      </c>
      <c r="O135" s="481">
        <f>'Posebni dio'!P514</f>
        <v>0</v>
      </c>
      <c r="P135" s="481">
        <f>'Posebni dio'!Q514</f>
        <v>0</v>
      </c>
      <c r="Q135" s="481">
        <f>'Posebni dio'!R514</f>
        <v>0</v>
      </c>
      <c r="R135" s="481">
        <f>'Posebni dio'!S514</f>
        <v>0</v>
      </c>
      <c r="S135" s="481" t="e">
        <f t="shared" si="32"/>
        <v>#DIV/0!</v>
      </c>
      <c r="T135" s="481" t="e">
        <f t="shared" si="34"/>
        <v>#DIV/0!</v>
      </c>
    </row>
    <row r="136" spans="2:68" s="14" customFormat="1" ht="18.75" customHeight="1">
      <c r="B136" s="163"/>
      <c r="C136" s="163"/>
      <c r="D136" s="163"/>
      <c r="E136" s="163"/>
      <c r="F136" s="163"/>
      <c r="G136" s="163"/>
      <c r="H136" s="163"/>
      <c r="I136" s="293">
        <v>42</v>
      </c>
      <c r="J136" s="294" t="s">
        <v>28</v>
      </c>
      <c r="K136" s="294"/>
      <c r="L136" s="482">
        <f aca="true" t="shared" si="39" ref="L136:R136">L137+L138+L139+L141</f>
        <v>163938.94750812926</v>
      </c>
      <c r="M136" s="482">
        <f t="shared" si="39"/>
        <v>589285.792351125</v>
      </c>
      <c r="N136" s="482">
        <f t="shared" si="39"/>
        <v>3858791.4621036565</v>
      </c>
      <c r="O136" s="482">
        <f t="shared" si="39"/>
        <v>601060.3161125489</v>
      </c>
      <c r="P136" s="482">
        <f t="shared" si="39"/>
        <v>76117.37</v>
      </c>
      <c r="Q136" s="482">
        <f t="shared" si="39"/>
        <v>281199.98</v>
      </c>
      <c r="R136" s="482">
        <f t="shared" si="39"/>
        <v>218167.59999999998</v>
      </c>
      <c r="S136" s="481">
        <f t="shared" si="32"/>
        <v>133.0785657198279</v>
      </c>
      <c r="T136" s="481">
        <f t="shared" si="34"/>
        <v>77.58450053943817</v>
      </c>
      <c r="U136" s="529"/>
      <c r="V136" s="261"/>
      <c r="W136" s="261"/>
      <c r="X136" s="261"/>
      <c r="Y136" s="261"/>
      <c r="Z136" s="261"/>
      <c r="AA136" s="261"/>
      <c r="AB136" s="261"/>
      <c r="AC136" s="261"/>
      <c r="AD136" s="261"/>
      <c r="AE136" s="261"/>
      <c r="AF136" s="261"/>
      <c r="AG136" s="261"/>
      <c r="AH136" s="261"/>
      <c r="AI136" s="261"/>
      <c r="AJ136" s="261"/>
      <c r="AK136" s="261"/>
      <c r="AL136" s="261"/>
      <c r="AM136" s="261"/>
      <c r="AN136" s="261"/>
      <c r="AO136" s="261"/>
      <c r="AP136" s="261"/>
      <c r="AQ136" s="261"/>
      <c r="AR136" s="261"/>
      <c r="AS136" s="261"/>
      <c r="AT136" s="261"/>
      <c r="AU136" s="261"/>
      <c r="AV136" s="261"/>
      <c r="AW136" s="261"/>
      <c r="AX136" s="261"/>
      <c r="AY136" s="261"/>
      <c r="AZ136" s="261"/>
      <c r="BA136" s="261"/>
      <c r="BB136" s="261"/>
      <c r="BC136" s="261"/>
      <c r="BD136" s="261"/>
      <c r="BE136" s="261"/>
      <c r="BF136" s="261"/>
      <c r="BG136" s="261"/>
      <c r="BH136" s="261"/>
      <c r="BI136" s="261"/>
      <c r="BJ136" s="261"/>
      <c r="BK136" s="261"/>
      <c r="BL136" s="261"/>
      <c r="BM136" s="261"/>
      <c r="BN136" s="261"/>
      <c r="BO136" s="261"/>
      <c r="BP136" s="261"/>
    </row>
    <row r="137" spans="1:20" ht="21" customHeight="1">
      <c r="A137" s="2"/>
      <c r="B137" s="3"/>
      <c r="C137" s="3"/>
      <c r="D137" s="3"/>
      <c r="E137" s="3"/>
      <c r="F137" s="3"/>
      <c r="G137" s="3"/>
      <c r="H137" s="3"/>
      <c r="I137" s="5">
        <v>421</v>
      </c>
      <c r="J137" s="5" t="s">
        <v>13</v>
      </c>
      <c r="K137" s="5"/>
      <c r="L137" s="481">
        <f>'Posebni dio'!M244+'Posebni dio'!M281+'Posebni dio'!M295+'Posebni dio'!M308+'Posebni dio'!M398+'Posebni dio'!M472+'Posebni dio'!M501+'Posebni dio'!M517</f>
        <v>127663.54768066891</v>
      </c>
      <c r="M137" s="481">
        <f>'Posebni dio'!N244+'Posebni dio'!N281+'Posebni dio'!N295+'Posebni dio'!N308+'Posebni dio'!N398+'Posebni dio'!N472+'Posebni dio'!N501+'Posebni dio'!N517</f>
        <v>275001.643468047</v>
      </c>
      <c r="N137" s="481">
        <f>'Posebni dio'!O244+'Posebni dio'!O281+'Posebni dio'!O295+'Posebni dio'!O308+'Posebni dio'!O398+'Posebni dio'!O472+'Posebni dio'!O501+'Posebni dio'!O517</f>
        <v>2089905.9604207315</v>
      </c>
      <c r="O137" s="481">
        <f>'Posebni dio'!P244+'Posebni dio'!P281+'Posebni dio'!P295+'Posebni dio'!P308+'Posebni dio'!P398+'Posebni dio'!P472+'Posebni dio'!P501+'Posebni dio'!P517</f>
        <v>214324.63451987522</v>
      </c>
      <c r="P137" s="481">
        <f>'Posebni dio'!Q244+'Posebni dio'!Q281+'Posebni dio'!Q295+'Posebni dio'!Q308+'Posebni dio'!Q398+'Posebni dio'!Q472+'Posebni dio'!Q501+'Posebni dio'!Q517</f>
        <v>44765.03</v>
      </c>
      <c r="Q137" s="481">
        <f>'Posebni dio'!R244+'Posebni dio'!R281+'Posebni dio'!R295+'Posebni dio'!R308+'Posebni dio'!R398+'Posebni dio'!R472+'Posebni dio'!R501+'Posebni dio'!R517</f>
        <v>99742.24999999999</v>
      </c>
      <c r="R137" s="481">
        <f>'Posebni dio'!S244+'Posebni dio'!S281+'Posebni dio'!S295+'Posebni dio'!S308+'Posebni dio'!S398+'Posebni dio'!S472+'Posebni dio'!S501+'Posebni dio'!S517</f>
        <v>98415.01999999999</v>
      </c>
      <c r="S137" s="481">
        <f t="shared" si="32"/>
        <v>77.08936637588225</v>
      </c>
      <c r="T137" s="481">
        <f t="shared" si="34"/>
        <v>98.66934022442847</v>
      </c>
    </row>
    <row r="138" spans="1:20" ht="19.5" customHeight="1">
      <c r="A138" s="2"/>
      <c r="B138" s="3"/>
      <c r="C138" s="3"/>
      <c r="D138" s="3"/>
      <c r="E138" s="3"/>
      <c r="F138" s="3"/>
      <c r="G138" s="3"/>
      <c r="H138" s="3"/>
      <c r="I138" s="5">
        <v>422</v>
      </c>
      <c r="J138" s="5" t="s">
        <v>14</v>
      </c>
      <c r="K138" s="5"/>
      <c r="L138" s="481">
        <f>'Posebni dio'!M246+'Posebni dio'!M283+'Posebni dio'!M298+'Posebni dio'!M318+'Posebni dio'!M358+'Posebni dio'!M376+'Posebni dio'!M401+'Posebni dio'!M458+'Posebni dio'!M484+'Posebni dio'!M599</f>
        <v>18301.413497909616</v>
      </c>
      <c r="M138" s="481">
        <f>'Posebni dio'!N246+'Posebni dio'!N283+'Posebni dio'!N298+'Posebni dio'!N318+'Posebni dio'!N358+'Posebni dio'!N376+'Posebni dio'!N401+'Posebni dio'!N458+'Posebni dio'!N484+'Posebni dio'!N599</f>
        <v>142013.39927865154</v>
      </c>
      <c r="N138" s="481">
        <f>'Posebni dio'!O246+'Posebni dio'!O283+'Posebni dio'!O298+'Posebni dio'!O318+'Posebni dio'!O358+'Posebni dio'!O376+'Posebni dio'!O401+'Posebni dio'!O458+'Posebni dio'!O484+'Posebni dio'!O599</f>
        <v>808462.4508414626</v>
      </c>
      <c r="O138" s="481">
        <f>'Posebni dio'!P246+'Posebni dio'!P283+'Posebni dio'!P298+'Posebni dio'!P318+'Posebni dio'!P358+'Posebni dio'!P376+'Posebni dio'!P401+'Posebni dio'!P458+'Posebni dio'!P484+'Posebni dio'!P599</f>
        <v>191438.89035304266</v>
      </c>
      <c r="P138" s="481">
        <f>'Posebni dio'!Q246+'Posebni dio'!Q283+'Posebni dio'!Q298+'Posebni dio'!Q318+'Posebni dio'!Q358+'Posebni dio'!Q376+'Posebni dio'!Q401+'Posebni dio'!Q458+'Posebni dio'!Q484+'Posebni dio'!Q599</f>
        <v>26111.5</v>
      </c>
      <c r="Q138" s="481">
        <f>'Posebni dio'!R246+'Posebni dio'!R283+'Posebni dio'!R298+'Posebni dio'!R318+'Posebni dio'!R358+'Posebni dio'!R376+'Posebni dio'!R401+'Posebni dio'!R458+'Posebni dio'!R484+'Posebni dio'!R599</f>
        <v>107003.07</v>
      </c>
      <c r="R138" s="481">
        <f>'Posebni dio'!S246+'Posebni dio'!S283+'Posebni dio'!S298+'Posebni dio'!S318+'Posebni dio'!S358+'Posebni dio'!S376+'Posebni dio'!S401+'Posebni dio'!S458+'Posebni dio'!S484+'Posebni dio'!S599</f>
        <v>58559.25</v>
      </c>
      <c r="S138" s="481">
        <f t="shared" si="32"/>
        <v>319.9711869615351</v>
      </c>
      <c r="T138" s="481">
        <f t="shared" si="34"/>
        <v>54.726700832041544</v>
      </c>
    </row>
    <row r="139" spans="1:20" ht="19.5" customHeight="1" hidden="1">
      <c r="A139" s="2"/>
      <c r="B139" s="3"/>
      <c r="C139" s="3"/>
      <c r="D139" s="3"/>
      <c r="E139" s="3"/>
      <c r="F139" s="3"/>
      <c r="G139" s="3"/>
      <c r="H139" s="3"/>
      <c r="I139" s="5">
        <v>423</v>
      </c>
      <c r="J139" s="5" t="s">
        <v>15</v>
      </c>
      <c r="K139" s="5"/>
      <c r="L139" s="481">
        <f>'Posebni dio'!M251+'Posebni dio'!M490</f>
        <v>0</v>
      </c>
      <c r="M139" s="481">
        <f>'Posebni dio'!N251+'Posebni dio'!N490</f>
        <v>0</v>
      </c>
      <c r="N139" s="481">
        <f>'Posebni dio'!O251+'Posebni dio'!O490</f>
        <v>0</v>
      </c>
      <c r="O139" s="481">
        <f>'Posebni dio'!P251+'Posebni dio'!P490</f>
        <v>0</v>
      </c>
      <c r="P139" s="481">
        <f>'Posebni dio'!Q251+'Posebni dio'!Q490</f>
        <v>0</v>
      </c>
      <c r="Q139" s="481">
        <f>'Posebni dio'!R251+'Posebni dio'!R490</f>
        <v>0</v>
      </c>
      <c r="R139" s="481">
        <f>'Posebni dio'!S251+'Posebni dio'!S490</f>
        <v>0</v>
      </c>
      <c r="S139" s="481" t="e">
        <f t="shared" si="32"/>
        <v>#DIV/0!</v>
      </c>
      <c r="T139" s="481" t="e">
        <f t="shared" si="34"/>
        <v>#DIV/0!</v>
      </c>
    </row>
    <row r="140" spans="1:20" ht="21" customHeight="1" hidden="1">
      <c r="A140" s="2"/>
      <c r="B140" s="3"/>
      <c r="C140" s="3"/>
      <c r="D140" s="3"/>
      <c r="E140" s="3"/>
      <c r="F140" s="3"/>
      <c r="G140" s="3"/>
      <c r="H140" s="3"/>
      <c r="I140" s="5">
        <v>424</v>
      </c>
      <c r="J140" s="5" t="s">
        <v>291</v>
      </c>
      <c r="K140" s="5"/>
      <c r="L140" s="481"/>
      <c r="M140" s="481"/>
      <c r="N140" s="481"/>
      <c r="O140" s="481"/>
      <c r="P140" s="481"/>
      <c r="Q140" s="481"/>
      <c r="R140" s="481"/>
      <c r="S140" s="481" t="e">
        <f t="shared" si="32"/>
        <v>#DIV/0!</v>
      </c>
      <c r="T140" s="481" t="e">
        <f t="shared" si="34"/>
        <v>#DIV/0!</v>
      </c>
    </row>
    <row r="141" spans="1:20" ht="20.25" customHeight="1">
      <c r="A141" s="2"/>
      <c r="B141" s="3"/>
      <c r="C141" s="3"/>
      <c r="D141" s="3"/>
      <c r="E141" s="3"/>
      <c r="F141" s="3"/>
      <c r="G141" s="3"/>
      <c r="H141" s="3"/>
      <c r="I141" s="5">
        <v>426</v>
      </c>
      <c r="J141" s="5" t="s">
        <v>30</v>
      </c>
      <c r="K141" s="5"/>
      <c r="L141" s="481">
        <f>'Posebni dio'!M253+'Posebni dio'!M312+'Posebni dio'!M330+'Posebni dio'!M505+'Posebni dio'!M549+'Posebni dio'!M558+'Posebni dio'!M564+'Posebni dio'!M571+'Posebni dio'!M579</f>
        <v>17973.98632955073</v>
      </c>
      <c r="M141" s="481">
        <f>'Posebni dio'!N253+'Posebni dio'!N312+'Posebni dio'!N330+'Posebni dio'!N505+'Posebni dio'!N549+'Posebni dio'!N558+'Posebni dio'!N564+'Posebni dio'!N571+'Posebni dio'!N579</f>
        <v>172270.7496044264</v>
      </c>
      <c r="N141" s="481">
        <f>'Posebni dio'!O253+'Posebni dio'!O312+'Posebni dio'!O330+'Posebni dio'!O505+'Posebni dio'!O549+'Posebni dio'!O558+'Posebni dio'!O564+'Posebni dio'!O571+'Posebni dio'!O579</f>
        <v>960423.0508414626</v>
      </c>
      <c r="O141" s="481">
        <f>'Posebni dio'!P253+'Posebni dio'!P312+'Posebni dio'!P330+'Posebni dio'!P505+'Posebni dio'!P549+'Posebni dio'!P558+'Posebni dio'!P564+'Posebni dio'!P571+'Posebni dio'!P579</f>
        <v>195296.791239631</v>
      </c>
      <c r="P141" s="481">
        <f>'Posebni dio'!Q253+'Posebni dio'!Q312+'Posebni dio'!Q330+'Posebni dio'!Q505+'Posebni dio'!Q549+'Posebni dio'!Q558+'Posebni dio'!Q564+'Posebni dio'!Q571+'Posebni dio'!Q579</f>
        <v>5240.84</v>
      </c>
      <c r="Q141" s="481">
        <f>'Posebni dio'!R253+'Posebni dio'!R312+'Posebni dio'!R330+'Posebni dio'!R505+'Posebni dio'!R549+'Posebni dio'!R558+'Posebni dio'!R564+'Posebni dio'!R571+'Posebni dio'!R579</f>
        <v>74454.66</v>
      </c>
      <c r="R141" s="481">
        <f>'Posebni dio'!S253+'Posebni dio'!S312+'Posebni dio'!S330+'Posebni dio'!S505+'Posebni dio'!S549+'Posebni dio'!S558+'Posebni dio'!S564+'Posebni dio'!S571+'Posebni dio'!S579</f>
        <v>61193.33</v>
      </c>
      <c r="S141" s="481">
        <f t="shared" si="32"/>
        <v>340.4549713014584</v>
      </c>
      <c r="T141" s="481">
        <f t="shared" si="34"/>
        <v>82.1887172676633</v>
      </c>
    </row>
    <row r="142" spans="2:68" s="14" customFormat="1" ht="21" customHeight="1">
      <c r="B142" s="163"/>
      <c r="C142" s="163"/>
      <c r="D142" s="163"/>
      <c r="E142" s="163"/>
      <c r="F142" s="163"/>
      <c r="G142" s="163"/>
      <c r="H142" s="163"/>
      <c r="I142" s="293">
        <v>45</v>
      </c>
      <c r="J142" s="294" t="s">
        <v>378</v>
      </c>
      <c r="K142" s="294"/>
      <c r="L142" s="482">
        <f aca="true" t="shared" si="40" ref="L142:R142">L143+L144+L145</f>
        <v>92031.45530559425</v>
      </c>
      <c r="M142" s="482">
        <f t="shared" si="40"/>
        <v>126750.28231402217</v>
      </c>
      <c r="N142" s="482">
        <f t="shared" si="40"/>
        <v>774908.4212621939</v>
      </c>
      <c r="O142" s="482">
        <f t="shared" si="40"/>
        <v>145613.50119450525</v>
      </c>
      <c r="P142" s="482">
        <f t="shared" si="40"/>
        <v>67821.18</v>
      </c>
      <c r="Q142" s="482">
        <f t="shared" si="40"/>
        <v>104347.43</v>
      </c>
      <c r="R142" s="482">
        <f t="shared" si="40"/>
        <v>106261.06</v>
      </c>
      <c r="S142" s="481">
        <f t="shared" si="32"/>
        <v>115.46167519263469</v>
      </c>
      <c r="T142" s="481">
        <f t="shared" si="34"/>
        <v>101.83390237785446</v>
      </c>
      <c r="U142" s="529"/>
      <c r="V142" s="261"/>
      <c r="W142" s="261"/>
      <c r="X142" s="261"/>
      <c r="Y142" s="261"/>
      <c r="Z142" s="261"/>
      <c r="AA142" s="261"/>
      <c r="AB142" s="261"/>
      <c r="AC142" s="261"/>
      <c r="AD142" s="261"/>
      <c r="AE142" s="261"/>
      <c r="AF142" s="261"/>
      <c r="AG142" s="261"/>
      <c r="AH142" s="261"/>
      <c r="AI142" s="261"/>
      <c r="AJ142" s="261"/>
      <c r="AK142" s="261"/>
      <c r="AL142" s="261"/>
      <c r="AM142" s="261"/>
      <c r="AN142" s="261"/>
      <c r="AO142" s="261"/>
      <c r="AP142" s="261"/>
      <c r="AQ142" s="261"/>
      <c r="AR142" s="261"/>
      <c r="AS142" s="261"/>
      <c r="AT142" s="261"/>
      <c r="AU142" s="261"/>
      <c r="AV142" s="261"/>
      <c r="AW142" s="261"/>
      <c r="AX142" s="261"/>
      <c r="AY142" s="261"/>
      <c r="AZ142" s="261"/>
      <c r="BA142" s="261"/>
      <c r="BB142" s="261"/>
      <c r="BC142" s="261"/>
      <c r="BD142" s="261"/>
      <c r="BE142" s="261"/>
      <c r="BF142" s="261"/>
      <c r="BG142" s="261"/>
      <c r="BH142" s="261"/>
      <c r="BI142" s="261"/>
      <c r="BJ142" s="261"/>
      <c r="BK142" s="261"/>
      <c r="BL142" s="261"/>
      <c r="BM142" s="261"/>
      <c r="BN142" s="261"/>
      <c r="BO142" s="261"/>
      <c r="BP142" s="261"/>
    </row>
    <row r="143" spans="1:20" ht="20.25" customHeight="1">
      <c r="A143" s="2"/>
      <c r="B143" s="3"/>
      <c r="C143" s="3"/>
      <c r="D143" s="3"/>
      <c r="E143" s="3"/>
      <c r="F143" s="3"/>
      <c r="G143" s="3"/>
      <c r="H143" s="3"/>
      <c r="I143" s="5">
        <v>451</v>
      </c>
      <c r="J143" s="5" t="s">
        <v>379</v>
      </c>
      <c r="K143" s="5"/>
      <c r="L143" s="481">
        <f>'Posebni dio'!M222+'Posebni dio'!M237+'Posebni dio'!M445</f>
        <v>78505.27573163447</v>
      </c>
      <c r="M143" s="481">
        <f>'Posebni dio'!N222+'Posebni dio'!N237+'Posebni dio'!N445</f>
        <v>15263.122967681997</v>
      </c>
      <c r="N143" s="481">
        <f>'Posebni dio'!O222+'Posebni dio'!O237+'Posebni dio'!O445</f>
        <v>65000</v>
      </c>
      <c r="O143" s="481">
        <f>'Posebni dio'!P222+'Posebni dio'!P237+'Posebni dio'!P445</f>
        <v>16990.84212621939</v>
      </c>
      <c r="P143" s="481">
        <f>'Posebni dio'!Q222+'Posebni dio'!Q237+'Posebni dio'!Q445</f>
        <v>0</v>
      </c>
      <c r="Q143" s="481">
        <f>'Posebni dio'!R222+'Posebni dio'!R237+'Posebni dio'!R445</f>
        <v>15000</v>
      </c>
      <c r="R143" s="481">
        <f>'Posebni dio'!S222+'Posebni dio'!S237+'Posebni dio'!S445</f>
        <v>0</v>
      </c>
      <c r="S143" s="481">
        <f t="shared" si="32"/>
        <v>0</v>
      </c>
      <c r="T143" s="481">
        <f t="shared" si="34"/>
        <v>0</v>
      </c>
    </row>
    <row r="144" spans="1:20" ht="20.25" customHeight="1">
      <c r="A144" s="2"/>
      <c r="B144" s="3"/>
      <c r="C144" s="3"/>
      <c r="D144" s="3"/>
      <c r="E144" s="3"/>
      <c r="F144" s="3"/>
      <c r="G144" s="3"/>
      <c r="H144" s="3"/>
      <c r="I144" s="5">
        <v>453</v>
      </c>
      <c r="J144" s="5" t="s">
        <v>562</v>
      </c>
      <c r="K144" s="5"/>
      <c r="L144" s="481">
        <f>'Posebni dio'!M493</f>
        <v>0</v>
      </c>
      <c r="M144" s="481">
        <f>'Posebni dio'!N493</f>
        <v>1327.2280841462605</v>
      </c>
      <c r="N144" s="481">
        <f>'Posebni dio'!O493</f>
        <v>10000</v>
      </c>
      <c r="O144" s="481">
        <f>'Posebni dio'!P493</f>
        <v>1327.2280841462605</v>
      </c>
      <c r="P144" s="481">
        <f>'Posebni dio'!Q493</f>
        <v>0</v>
      </c>
      <c r="Q144" s="481">
        <f>'Posebni dio'!R493</f>
        <v>0</v>
      </c>
      <c r="R144" s="481">
        <f>'Posebni dio'!S493</f>
        <v>0</v>
      </c>
      <c r="S144" s="481" t="e">
        <f t="shared" si="32"/>
        <v>#DIV/0!</v>
      </c>
      <c r="T144" s="481" t="e">
        <f t="shared" si="34"/>
        <v>#DIV/0!</v>
      </c>
    </row>
    <row r="145" spans="1:20" ht="18.75" customHeight="1">
      <c r="A145" s="2"/>
      <c r="B145" s="3"/>
      <c r="C145" s="3"/>
      <c r="D145" s="3"/>
      <c r="E145" s="3"/>
      <c r="F145" s="3"/>
      <c r="G145" s="3"/>
      <c r="H145" s="3"/>
      <c r="I145" s="5">
        <v>454</v>
      </c>
      <c r="J145" s="5" t="s">
        <v>394</v>
      </c>
      <c r="K145" s="5"/>
      <c r="L145" s="481">
        <f>'Posebni dio'!M404+'Posebni dio'!M650</f>
        <v>13526.179573959784</v>
      </c>
      <c r="M145" s="481">
        <f>'Posebni dio'!N404+'Posebni dio'!N650</f>
        <v>110159.93126219392</v>
      </c>
      <c r="N145" s="481">
        <f>'Posebni dio'!O404+'Posebni dio'!O650</f>
        <v>699908.4212621939</v>
      </c>
      <c r="O145" s="481">
        <f>'Posebni dio'!P404+'Posebni dio'!P650</f>
        <v>127295.43098413962</v>
      </c>
      <c r="P145" s="481">
        <f>'Posebni dio'!Q404+'Posebni dio'!Q650</f>
        <v>67821.18</v>
      </c>
      <c r="Q145" s="481">
        <f>'Posebni dio'!R404+'Posebni dio'!R650</f>
        <v>89347.43</v>
      </c>
      <c r="R145" s="481">
        <f>'Posebni dio'!S404+'Posebni dio'!S650</f>
        <v>106261.06</v>
      </c>
      <c r="S145" s="481">
        <f t="shared" si="32"/>
        <v>785.5955143799124</v>
      </c>
      <c r="T145" s="481">
        <f t="shared" si="34"/>
        <v>118.93018075617844</v>
      </c>
    </row>
    <row r="146" spans="1:68" s="149" customFormat="1" ht="24.75" customHeight="1">
      <c r="A146" s="254"/>
      <c r="B146" s="81"/>
      <c r="C146" s="81"/>
      <c r="D146" s="81"/>
      <c r="E146" s="81"/>
      <c r="F146" s="81"/>
      <c r="G146" s="81"/>
      <c r="H146" s="81"/>
      <c r="I146" s="81" t="s">
        <v>262</v>
      </c>
      <c r="J146" s="81"/>
      <c r="K146" s="81"/>
      <c r="L146" s="483"/>
      <c r="M146" s="483"/>
      <c r="N146" s="483"/>
      <c r="O146" s="483"/>
      <c r="P146" s="483"/>
      <c r="Q146" s="483"/>
      <c r="R146" s="483"/>
      <c r="S146" s="483"/>
      <c r="T146" s="483"/>
      <c r="U146" s="523"/>
      <c r="V146" s="67"/>
      <c r="W146" s="67"/>
      <c r="X146" s="67"/>
      <c r="Y146" s="67"/>
      <c r="Z146" s="67"/>
      <c r="AA146" s="67"/>
      <c r="AB146" s="67"/>
      <c r="AC146" s="67"/>
      <c r="AD146" s="67"/>
      <c r="AE146" s="67"/>
      <c r="AF146" s="67"/>
      <c r="AG146" s="67"/>
      <c r="AH146" s="67"/>
      <c r="AI146" s="67"/>
      <c r="AJ146" s="67"/>
      <c r="AK146" s="67"/>
      <c r="AL146" s="67"/>
      <c r="AM146" s="67"/>
      <c r="AN146" s="67"/>
      <c r="AO146" s="67"/>
      <c r="AP146" s="67"/>
      <c r="AQ146" s="67"/>
      <c r="AR146" s="67"/>
      <c r="AS146" s="67"/>
      <c r="AT146" s="67"/>
      <c r="AU146" s="67"/>
      <c r="AV146" s="67"/>
      <c r="AW146" s="67"/>
      <c r="AX146" s="67"/>
      <c r="AY146" s="67"/>
      <c r="AZ146" s="67"/>
      <c r="BA146" s="67"/>
      <c r="BB146" s="67"/>
      <c r="BC146" s="67"/>
      <c r="BD146" s="67"/>
      <c r="BE146" s="67"/>
      <c r="BF146" s="67"/>
      <c r="BG146" s="67"/>
      <c r="BH146" s="67"/>
      <c r="BI146" s="67"/>
      <c r="BJ146" s="67"/>
      <c r="BK146" s="67"/>
      <c r="BL146" s="67"/>
      <c r="BM146" s="67"/>
      <c r="BN146" s="67"/>
      <c r="BO146" s="67"/>
      <c r="BP146" s="67"/>
    </row>
    <row r="147" spans="2:68" s="154" customFormat="1" ht="26.25" customHeight="1">
      <c r="B147" s="155"/>
      <c r="C147" s="155"/>
      <c r="D147" s="155"/>
      <c r="E147" s="155"/>
      <c r="F147" s="155"/>
      <c r="G147" s="155"/>
      <c r="H147" s="155">
        <v>8</v>
      </c>
      <c r="I147" s="153">
        <v>8</v>
      </c>
      <c r="J147" s="153" t="s">
        <v>451</v>
      </c>
      <c r="K147" s="153"/>
      <c r="L147" s="484">
        <f aca="true" t="shared" si="41" ref="L147:R148">L148</f>
        <v>0</v>
      </c>
      <c r="M147" s="484">
        <f t="shared" si="41"/>
        <v>0</v>
      </c>
      <c r="N147" s="484">
        <f t="shared" si="41"/>
        <v>0</v>
      </c>
      <c r="O147" s="484">
        <f t="shared" si="41"/>
        <v>0</v>
      </c>
      <c r="P147" s="484">
        <f t="shared" si="41"/>
        <v>0</v>
      </c>
      <c r="Q147" s="484">
        <f t="shared" si="41"/>
        <v>0</v>
      </c>
      <c r="R147" s="484">
        <f t="shared" si="41"/>
        <v>0</v>
      </c>
      <c r="S147" s="478" t="e">
        <f t="shared" si="32"/>
        <v>#DIV/0!</v>
      </c>
      <c r="T147" s="478" t="e">
        <f t="shared" si="34"/>
        <v>#DIV/0!</v>
      </c>
      <c r="U147" s="529"/>
      <c r="V147" s="261"/>
      <c r="W147" s="261"/>
      <c r="X147" s="261"/>
      <c r="Y147" s="261"/>
      <c r="Z147" s="261"/>
      <c r="AA147" s="261"/>
      <c r="AB147" s="261"/>
      <c r="AC147" s="261"/>
      <c r="AD147" s="261"/>
      <c r="AE147" s="261"/>
      <c r="AF147" s="261"/>
      <c r="AG147" s="261"/>
      <c r="AH147" s="261"/>
      <c r="AI147" s="261"/>
      <c r="AJ147" s="261"/>
      <c r="AK147" s="261"/>
      <c r="AL147" s="261"/>
      <c r="AM147" s="261"/>
      <c r="AN147" s="261"/>
      <c r="AO147" s="261"/>
      <c r="AP147" s="261"/>
      <c r="AQ147" s="261"/>
      <c r="AR147" s="261"/>
      <c r="AS147" s="261"/>
      <c r="AT147" s="261"/>
      <c r="AU147" s="261"/>
      <c r="AV147" s="261"/>
      <c r="AW147" s="261"/>
      <c r="AX147" s="261"/>
      <c r="AY147" s="261"/>
      <c r="AZ147" s="261"/>
      <c r="BA147" s="261"/>
      <c r="BB147" s="261"/>
      <c r="BC147" s="261"/>
      <c r="BD147" s="261"/>
      <c r="BE147" s="261"/>
      <c r="BF147" s="261"/>
      <c r="BG147" s="261"/>
      <c r="BH147" s="261"/>
      <c r="BI147" s="261"/>
      <c r="BJ147" s="261"/>
      <c r="BK147" s="261"/>
      <c r="BL147" s="261"/>
      <c r="BM147" s="261"/>
      <c r="BN147" s="261"/>
      <c r="BO147" s="261"/>
      <c r="BP147" s="261"/>
    </row>
    <row r="148" spans="2:68" s="14" customFormat="1" ht="23.25" customHeight="1">
      <c r="B148" s="163"/>
      <c r="C148" s="163"/>
      <c r="D148" s="163"/>
      <c r="E148" s="163"/>
      <c r="F148" s="163"/>
      <c r="G148" s="163"/>
      <c r="H148" s="163"/>
      <c r="I148" s="293">
        <v>84</v>
      </c>
      <c r="J148" s="294" t="s">
        <v>292</v>
      </c>
      <c r="K148" s="294"/>
      <c r="L148" s="482">
        <f t="shared" si="41"/>
        <v>0</v>
      </c>
      <c r="M148" s="482">
        <f t="shared" si="41"/>
        <v>0</v>
      </c>
      <c r="N148" s="482">
        <f t="shared" si="41"/>
        <v>0</v>
      </c>
      <c r="O148" s="482">
        <f t="shared" si="41"/>
        <v>0</v>
      </c>
      <c r="P148" s="482">
        <f t="shared" si="41"/>
        <v>0</v>
      </c>
      <c r="Q148" s="482">
        <f t="shared" si="41"/>
        <v>0</v>
      </c>
      <c r="R148" s="482">
        <f t="shared" si="41"/>
        <v>0</v>
      </c>
      <c r="S148" s="481" t="e">
        <f t="shared" si="32"/>
        <v>#DIV/0!</v>
      </c>
      <c r="T148" s="481" t="e">
        <f t="shared" si="34"/>
        <v>#DIV/0!</v>
      </c>
      <c r="U148" s="529"/>
      <c r="V148" s="261"/>
      <c r="W148" s="261"/>
      <c r="X148" s="261"/>
      <c r="Y148" s="261"/>
      <c r="Z148" s="261"/>
      <c r="AA148" s="261"/>
      <c r="AB148" s="261"/>
      <c r="AC148" s="261"/>
      <c r="AD148" s="261"/>
      <c r="AE148" s="261"/>
      <c r="AF148" s="261"/>
      <c r="AG148" s="261"/>
      <c r="AH148" s="261"/>
      <c r="AI148" s="261"/>
      <c r="AJ148" s="261"/>
      <c r="AK148" s="261"/>
      <c r="AL148" s="261"/>
      <c r="AM148" s="261"/>
      <c r="AN148" s="261"/>
      <c r="AO148" s="261"/>
      <c r="AP148" s="261"/>
      <c r="AQ148" s="261"/>
      <c r="AR148" s="261"/>
      <c r="AS148" s="261"/>
      <c r="AT148" s="261"/>
      <c r="AU148" s="261"/>
      <c r="AV148" s="261"/>
      <c r="AW148" s="261"/>
      <c r="AX148" s="261"/>
      <c r="AY148" s="261"/>
      <c r="AZ148" s="261"/>
      <c r="BA148" s="261"/>
      <c r="BB148" s="261"/>
      <c r="BC148" s="261"/>
      <c r="BD148" s="261"/>
      <c r="BE148" s="261"/>
      <c r="BF148" s="261"/>
      <c r="BG148" s="261"/>
      <c r="BH148" s="261"/>
      <c r="BI148" s="261"/>
      <c r="BJ148" s="261"/>
      <c r="BK148" s="261"/>
      <c r="BL148" s="261"/>
      <c r="BM148" s="261"/>
      <c r="BN148" s="261"/>
      <c r="BO148" s="261"/>
      <c r="BP148" s="261"/>
    </row>
    <row r="149" spans="1:20" ht="21.75" customHeight="1">
      <c r="A149" s="2"/>
      <c r="B149" s="3"/>
      <c r="C149" s="3"/>
      <c r="D149" s="3"/>
      <c r="E149" s="3"/>
      <c r="F149" s="3"/>
      <c r="G149" s="3"/>
      <c r="H149" s="3"/>
      <c r="I149" s="5">
        <v>844</v>
      </c>
      <c r="J149" s="562" t="s">
        <v>314</v>
      </c>
      <c r="K149" s="563"/>
      <c r="L149" s="481"/>
      <c r="M149" s="481"/>
      <c r="N149" s="481"/>
      <c r="O149" s="481"/>
      <c r="P149" s="481"/>
      <c r="Q149" s="481"/>
      <c r="R149" s="481"/>
      <c r="S149" s="481" t="e">
        <f t="shared" si="32"/>
        <v>#DIV/0!</v>
      </c>
      <c r="T149" s="481" t="e">
        <f t="shared" si="34"/>
        <v>#DIV/0!</v>
      </c>
    </row>
    <row r="150" spans="2:68" s="154" customFormat="1" ht="20.25" customHeight="1">
      <c r="B150" s="155"/>
      <c r="C150" s="155"/>
      <c r="D150" s="155"/>
      <c r="E150" s="155"/>
      <c r="F150" s="155"/>
      <c r="G150" s="155"/>
      <c r="H150" s="155">
        <v>8</v>
      </c>
      <c r="I150" s="153">
        <v>5</v>
      </c>
      <c r="J150" s="153" t="s">
        <v>452</v>
      </c>
      <c r="K150" s="153"/>
      <c r="L150" s="484">
        <f aca="true" t="shared" si="42" ref="L150:R150">L151+L153</f>
        <v>407085.9380184485</v>
      </c>
      <c r="M150" s="484">
        <f t="shared" si="42"/>
        <v>145995.08925608866</v>
      </c>
      <c r="N150" s="484">
        <f t="shared" si="42"/>
        <v>145995.08925608866</v>
      </c>
      <c r="O150" s="484">
        <f t="shared" si="42"/>
        <v>145995.08925608866</v>
      </c>
      <c r="P150" s="484">
        <f t="shared" si="42"/>
        <v>145995.09</v>
      </c>
      <c r="Q150" s="484">
        <f t="shared" si="42"/>
        <v>145995.09</v>
      </c>
      <c r="R150" s="484">
        <f t="shared" si="42"/>
        <v>145995.09</v>
      </c>
      <c r="S150" s="478">
        <f t="shared" si="32"/>
        <v>35.863456917881486</v>
      </c>
      <c r="T150" s="478">
        <f t="shared" si="34"/>
        <v>100</v>
      </c>
      <c r="U150" s="529"/>
      <c r="V150" s="261"/>
      <c r="W150" s="261"/>
      <c r="X150" s="261"/>
      <c r="Y150" s="261"/>
      <c r="Z150" s="261"/>
      <c r="AA150" s="261"/>
      <c r="AB150" s="261"/>
      <c r="AC150" s="261"/>
      <c r="AD150" s="261"/>
      <c r="AE150" s="261"/>
      <c r="AF150" s="261"/>
      <c r="AG150" s="261"/>
      <c r="AH150" s="261"/>
      <c r="AI150" s="261"/>
      <c r="AJ150" s="261"/>
      <c r="AK150" s="261"/>
      <c r="AL150" s="261"/>
      <c r="AM150" s="261"/>
      <c r="AN150" s="261"/>
      <c r="AO150" s="261"/>
      <c r="AP150" s="261"/>
      <c r="AQ150" s="261"/>
      <c r="AR150" s="261"/>
      <c r="AS150" s="261"/>
      <c r="AT150" s="261"/>
      <c r="AU150" s="261"/>
      <c r="AV150" s="261"/>
      <c r="AW150" s="261"/>
      <c r="AX150" s="261"/>
      <c r="AY150" s="261"/>
      <c r="AZ150" s="261"/>
      <c r="BA150" s="261"/>
      <c r="BB150" s="261"/>
      <c r="BC150" s="261"/>
      <c r="BD150" s="261"/>
      <c r="BE150" s="261"/>
      <c r="BF150" s="261"/>
      <c r="BG150" s="261"/>
      <c r="BH150" s="261"/>
      <c r="BI150" s="261"/>
      <c r="BJ150" s="261"/>
      <c r="BK150" s="261"/>
      <c r="BL150" s="261"/>
      <c r="BM150" s="261"/>
      <c r="BN150" s="261"/>
      <c r="BO150" s="261"/>
      <c r="BP150" s="261"/>
    </row>
    <row r="151" spans="2:68" s="14" customFormat="1" ht="19.5" customHeight="1">
      <c r="B151" s="163"/>
      <c r="C151" s="163"/>
      <c r="D151" s="163"/>
      <c r="E151" s="163"/>
      <c r="F151" s="163"/>
      <c r="G151" s="163"/>
      <c r="H151" s="163"/>
      <c r="I151" s="293">
        <v>51</v>
      </c>
      <c r="J151" s="294" t="s">
        <v>293</v>
      </c>
      <c r="K151" s="294"/>
      <c r="L151" s="482">
        <f aca="true" t="shared" si="43" ref="L151:R151">L152</f>
        <v>0</v>
      </c>
      <c r="M151" s="482">
        <f t="shared" si="43"/>
        <v>0</v>
      </c>
      <c r="N151" s="482">
        <f t="shared" si="43"/>
        <v>0</v>
      </c>
      <c r="O151" s="482">
        <f t="shared" si="43"/>
        <v>0</v>
      </c>
      <c r="P151" s="482">
        <f t="shared" si="43"/>
        <v>0</v>
      </c>
      <c r="Q151" s="482">
        <f t="shared" si="43"/>
        <v>0</v>
      </c>
      <c r="R151" s="482">
        <f t="shared" si="43"/>
        <v>0</v>
      </c>
      <c r="S151" s="481" t="e">
        <f t="shared" si="32"/>
        <v>#DIV/0!</v>
      </c>
      <c r="T151" s="481" t="e">
        <f t="shared" si="34"/>
        <v>#DIV/0!</v>
      </c>
      <c r="U151" s="529"/>
      <c r="V151" s="261"/>
      <c r="W151" s="261"/>
      <c r="X151" s="261"/>
      <c r="Y151" s="261"/>
      <c r="Z151" s="261"/>
      <c r="AA151" s="261"/>
      <c r="AB151" s="261"/>
      <c r="AC151" s="261"/>
      <c r="AD151" s="261"/>
      <c r="AE151" s="261"/>
      <c r="AF151" s="261"/>
      <c r="AG151" s="261"/>
      <c r="AH151" s="261"/>
      <c r="AI151" s="261"/>
      <c r="AJ151" s="261"/>
      <c r="AK151" s="261"/>
      <c r="AL151" s="261"/>
      <c r="AM151" s="261"/>
      <c r="AN151" s="261"/>
      <c r="AO151" s="261"/>
      <c r="AP151" s="261"/>
      <c r="AQ151" s="261"/>
      <c r="AR151" s="261"/>
      <c r="AS151" s="261"/>
      <c r="AT151" s="261"/>
      <c r="AU151" s="261"/>
      <c r="AV151" s="261"/>
      <c r="AW151" s="261"/>
      <c r="AX151" s="261"/>
      <c r="AY151" s="261"/>
      <c r="AZ151" s="261"/>
      <c r="BA151" s="261"/>
      <c r="BB151" s="261"/>
      <c r="BC151" s="261"/>
      <c r="BD151" s="261"/>
      <c r="BE151" s="261"/>
      <c r="BF151" s="261"/>
      <c r="BG151" s="261"/>
      <c r="BH151" s="261"/>
      <c r="BI151" s="261"/>
      <c r="BJ151" s="261"/>
      <c r="BK151" s="261"/>
      <c r="BL151" s="261"/>
      <c r="BM151" s="261"/>
      <c r="BN151" s="261"/>
      <c r="BO151" s="261"/>
      <c r="BP151" s="261"/>
    </row>
    <row r="152" spans="1:20" ht="19.5" customHeight="1">
      <c r="A152" s="2"/>
      <c r="B152" s="3"/>
      <c r="C152" s="3"/>
      <c r="D152" s="3"/>
      <c r="E152" s="3"/>
      <c r="F152" s="3"/>
      <c r="G152" s="3"/>
      <c r="H152" s="3"/>
      <c r="I152" s="5">
        <v>514</v>
      </c>
      <c r="J152" s="5" t="s">
        <v>315</v>
      </c>
      <c r="K152" s="5"/>
      <c r="L152" s="481"/>
      <c r="M152" s="481"/>
      <c r="N152" s="481"/>
      <c r="O152" s="481"/>
      <c r="P152" s="481"/>
      <c r="Q152" s="481"/>
      <c r="R152" s="481"/>
      <c r="S152" s="481" t="e">
        <f t="shared" si="32"/>
        <v>#DIV/0!</v>
      </c>
      <c r="T152" s="481" t="e">
        <f t="shared" si="34"/>
        <v>#DIV/0!</v>
      </c>
    </row>
    <row r="153" spans="2:68" s="14" customFormat="1" ht="23.25" customHeight="1">
      <c r="B153" s="163"/>
      <c r="C153" s="163"/>
      <c r="D153" s="163"/>
      <c r="E153" s="163"/>
      <c r="F153" s="163"/>
      <c r="G153" s="163"/>
      <c r="H153" s="163"/>
      <c r="I153" s="293">
        <v>54</v>
      </c>
      <c r="J153" s="294" t="s">
        <v>316</v>
      </c>
      <c r="K153" s="294"/>
      <c r="L153" s="482">
        <f aca="true" t="shared" si="44" ref="L153:R153">L154</f>
        <v>407085.9380184485</v>
      </c>
      <c r="M153" s="482">
        <f t="shared" si="44"/>
        <v>145995.08925608866</v>
      </c>
      <c r="N153" s="482">
        <f t="shared" si="44"/>
        <v>145995.08925608866</v>
      </c>
      <c r="O153" s="482">
        <f t="shared" si="44"/>
        <v>145995.08925608866</v>
      </c>
      <c r="P153" s="482">
        <f t="shared" si="44"/>
        <v>145995.09</v>
      </c>
      <c r="Q153" s="482">
        <f t="shared" si="44"/>
        <v>145995.09</v>
      </c>
      <c r="R153" s="482">
        <f t="shared" si="44"/>
        <v>145995.09</v>
      </c>
      <c r="S153" s="481">
        <f t="shared" si="32"/>
        <v>35.863456917881486</v>
      </c>
      <c r="T153" s="481">
        <f t="shared" si="34"/>
        <v>100</v>
      </c>
      <c r="U153" s="529"/>
      <c r="V153" s="261"/>
      <c r="W153" s="261"/>
      <c r="X153" s="261"/>
      <c r="Y153" s="261"/>
      <c r="Z153" s="261"/>
      <c r="AA153" s="261"/>
      <c r="AB153" s="261"/>
      <c r="AC153" s="261"/>
      <c r="AD153" s="261"/>
      <c r="AE153" s="261"/>
      <c r="AF153" s="261"/>
      <c r="AG153" s="261"/>
      <c r="AH153" s="261"/>
      <c r="AI153" s="261"/>
      <c r="AJ153" s="261"/>
      <c r="AK153" s="261"/>
      <c r="AL153" s="261"/>
      <c r="AM153" s="261"/>
      <c r="AN153" s="261"/>
      <c r="AO153" s="261"/>
      <c r="AP153" s="261"/>
      <c r="AQ153" s="261"/>
      <c r="AR153" s="261"/>
      <c r="AS153" s="261"/>
      <c r="AT153" s="261"/>
      <c r="AU153" s="261"/>
      <c r="AV153" s="261"/>
      <c r="AW153" s="261"/>
      <c r="AX153" s="261"/>
      <c r="AY153" s="261"/>
      <c r="AZ153" s="261"/>
      <c r="BA153" s="261"/>
      <c r="BB153" s="261"/>
      <c r="BC153" s="261"/>
      <c r="BD153" s="261"/>
      <c r="BE153" s="261"/>
      <c r="BF153" s="261"/>
      <c r="BG153" s="261"/>
      <c r="BH153" s="261"/>
      <c r="BI153" s="261"/>
      <c r="BJ153" s="261"/>
      <c r="BK153" s="261"/>
      <c r="BL153" s="261"/>
      <c r="BM153" s="261"/>
      <c r="BN153" s="261"/>
      <c r="BO153" s="261"/>
      <c r="BP153" s="261"/>
    </row>
    <row r="154" spans="1:20" ht="19.5" customHeight="1">
      <c r="A154" s="2"/>
      <c r="B154" s="3"/>
      <c r="C154" s="3"/>
      <c r="D154" s="3"/>
      <c r="E154" s="3"/>
      <c r="F154" s="3"/>
      <c r="G154" s="3"/>
      <c r="H154" s="3"/>
      <c r="I154" s="106">
        <v>544</v>
      </c>
      <c r="J154" s="576" t="s">
        <v>460</v>
      </c>
      <c r="K154" s="577"/>
      <c r="L154" s="406">
        <f>'Posebni dio'!M209</f>
        <v>407085.9380184485</v>
      </c>
      <c r="M154" s="406">
        <f>'Posebni dio'!N209</f>
        <v>145995.08925608866</v>
      </c>
      <c r="N154" s="406">
        <f>'Posebni dio'!O209</f>
        <v>145995.08925608866</v>
      </c>
      <c r="O154" s="406">
        <f>'Posebni dio'!P209</f>
        <v>145995.08925608866</v>
      </c>
      <c r="P154" s="406">
        <f>'Posebni dio'!Q209</f>
        <v>145995.09</v>
      </c>
      <c r="Q154" s="406">
        <f>'Posebni dio'!R209</f>
        <v>145995.09</v>
      </c>
      <c r="R154" s="406">
        <f>'Posebni dio'!S209</f>
        <v>145995.09</v>
      </c>
      <c r="S154" s="481">
        <f t="shared" si="32"/>
        <v>35.863456917881486</v>
      </c>
      <c r="T154" s="481">
        <f t="shared" si="34"/>
        <v>100</v>
      </c>
    </row>
    <row r="155" spans="1:68" s="149" customFormat="1" ht="23.25" customHeight="1">
      <c r="A155" s="254"/>
      <c r="B155" s="81"/>
      <c r="C155" s="81"/>
      <c r="D155" s="81"/>
      <c r="E155" s="81"/>
      <c r="F155" s="81"/>
      <c r="G155" s="81"/>
      <c r="H155" s="81"/>
      <c r="I155" s="583" t="s">
        <v>400</v>
      </c>
      <c r="J155" s="584"/>
      <c r="K155" s="585"/>
      <c r="L155" s="400"/>
      <c r="M155" s="250"/>
      <c r="N155" s="400"/>
      <c r="O155" s="250"/>
      <c r="P155" s="400"/>
      <c r="Q155" s="400"/>
      <c r="R155" s="400"/>
      <c r="S155" s="483"/>
      <c r="T155" s="483"/>
      <c r="U155" s="523"/>
      <c r="V155" s="67"/>
      <c r="W155" s="67"/>
      <c r="X155" s="67"/>
      <c r="Y155" s="67"/>
      <c r="Z155" s="67"/>
      <c r="AA155" s="67"/>
      <c r="AB155" s="67"/>
      <c r="AC155" s="67"/>
      <c r="AD155" s="67"/>
      <c r="AE155" s="67"/>
      <c r="AF155" s="67"/>
      <c r="AG155" s="67"/>
      <c r="AH155" s="67"/>
      <c r="AI155" s="67"/>
      <c r="AJ155" s="67"/>
      <c r="AK155" s="67"/>
      <c r="AL155" s="67"/>
      <c r="AM155" s="67"/>
      <c r="AN155" s="67"/>
      <c r="AO155" s="67"/>
      <c r="AP155" s="67"/>
      <c r="AQ155" s="67"/>
      <c r="AR155" s="67"/>
      <c r="AS155" s="67"/>
      <c r="AT155" s="67"/>
      <c r="AU155" s="67"/>
      <c r="AV155" s="67"/>
      <c r="AW155" s="67"/>
      <c r="AX155" s="67"/>
      <c r="AY155" s="67"/>
      <c r="AZ155" s="67"/>
      <c r="BA155" s="67"/>
      <c r="BB155" s="67"/>
      <c r="BC155" s="67"/>
      <c r="BD155" s="67"/>
      <c r="BE155" s="67"/>
      <c r="BF155" s="67"/>
      <c r="BG155" s="67"/>
      <c r="BH155" s="67"/>
      <c r="BI155" s="67"/>
      <c r="BJ155" s="67"/>
      <c r="BK155" s="67"/>
      <c r="BL155" s="67"/>
      <c r="BM155" s="67"/>
      <c r="BN155" s="67"/>
      <c r="BO155" s="67"/>
      <c r="BP155" s="67"/>
    </row>
    <row r="156" spans="1:68" s="145" customFormat="1" ht="24.75" customHeight="1">
      <c r="A156" s="143"/>
      <c r="B156" s="144"/>
      <c r="C156" s="144"/>
      <c r="D156" s="144"/>
      <c r="E156" s="144"/>
      <c r="F156" s="144"/>
      <c r="G156" s="144"/>
      <c r="H156" s="144"/>
      <c r="I156" s="119">
        <v>9</v>
      </c>
      <c r="J156" s="156" t="s">
        <v>453</v>
      </c>
      <c r="K156" s="157"/>
      <c r="L156" s="398"/>
      <c r="M156" s="120"/>
      <c r="N156" s="398"/>
      <c r="O156" s="120"/>
      <c r="P156" s="398"/>
      <c r="Q156" s="398"/>
      <c r="R156" s="398"/>
      <c r="S156" s="478" t="e">
        <f t="shared" si="32"/>
        <v>#DIV/0!</v>
      </c>
      <c r="T156" s="478" t="e">
        <f t="shared" si="34"/>
        <v>#DIV/0!</v>
      </c>
      <c r="U156" s="523"/>
      <c r="V156" s="67"/>
      <c r="W156" s="67"/>
      <c r="X156" s="67"/>
      <c r="Y156" s="67"/>
      <c r="Z156" s="67"/>
      <c r="AA156" s="67"/>
      <c r="AB156" s="67"/>
      <c r="AC156" s="67"/>
      <c r="AD156" s="67"/>
      <c r="AE156" s="67"/>
      <c r="AF156" s="67"/>
      <c r="AG156" s="67"/>
      <c r="AH156" s="67"/>
      <c r="AI156" s="67"/>
      <c r="AJ156" s="67"/>
      <c r="AK156" s="67"/>
      <c r="AL156" s="67"/>
      <c r="AM156" s="67"/>
      <c r="AN156" s="67"/>
      <c r="AO156" s="67"/>
      <c r="AP156" s="67"/>
      <c r="AQ156" s="67"/>
      <c r="AR156" s="67"/>
      <c r="AS156" s="67"/>
      <c r="AT156" s="67"/>
      <c r="AU156" s="67"/>
      <c r="AV156" s="67"/>
      <c r="AW156" s="67"/>
      <c r="AX156" s="67"/>
      <c r="AY156" s="67"/>
      <c r="AZ156" s="67"/>
      <c r="BA156" s="67"/>
      <c r="BB156" s="67"/>
      <c r="BC156" s="67"/>
      <c r="BD156" s="67"/>
      <c r="BE156" s="67"/>
      <c r="BF156" s="67"/>
      <c r="BG156" s="67"/>
      <c r="BH156" s="67"/>
      <c r="BI156" s="67"/>
      <c r="BJ156" s="67"/>
      <c r="BK156" s="67"/>
      <c r="BL156" s="67"/>
      <c r="BM156" s="67"/>
      <c r="BN156" s="67"/>
      <c r="BO156" s="67"/>
      <c r="BP156" s="67"/>
    </row>
    <row r="157" spans="1:20" ht="20.25" customHeight="1">
      <c r="A157" s="2"/>
      <c r="B157" s="3"/>
      <c r="C157" s="3"/>
      <c r="D157" s="3"/>
      <c r="E157" s="3"/>
      <c r="F157" s="3"/>
      <c r="G157" s="3"/>
      <c r="H157" s="3"/>
      <c r="I157" s="5">
        <v>92</v>
      </c>
      <c r="J157" s="5" t="s">
        <v>294</v>
      </c>
      <c r="K157" s="5"/>
      <c r="L157" s="407"/>
      <c r="M157" s="314"/>
      <c r="N157" s="407"/>
      <c r="O157" s="314"/>
      <c r="P157" s="407"/>
      <c r="Q157" s="407"/>
      <c r="R157" s="407"/>
      <c r="S157" s="481" t="e">
        <f t="shared" si="32"/>
        <v>#DIV/0!</v>
      </c>
      <c r="T157" s="481" t="e">
        <f t="shared" si="34"/>
        <v>#DIV/0!</v>
      </c>
    </row>
    <row r="158" spans="1:20" ht="14.25" customHeight="1" hidden="1">
      <c r="A158" s="2"/>
      <c r="B158" s="3"/>
      <c r="C158" s="3"/>
      <c r="D158" s="3"/>
      <c r="E158" s="3"/>
      <c r="F158" s="3"/>
      <c r="G158" s="3"/>
      <c r="H158" s="3"/>
      <c r="I158" s="5">
        <v>922</v>
      </c>
      <c r="J158" s="5" t="s">
        <v>295</v>
      </c>
      <c r="K158" s="5"/>
      <c r="L158" s="407"/>
      <c r="M158" s="314"/>
      <c r="N158" s="407"/>
      <c r="O158" s="314"/>
      <c r="P158" s="407"/>
      <c r="Q158" s="407"/>
      <c r="R158" s="407"/>
      <c r="S158" s="481" t="e">
        <f>O158/M158*100</f>
        <v>#DIV/0!</v>
      </c>
      <c r="T158" s="478" t="e">
        <f t="shared" si="34"/>
        <v>#DIV/0!</v>
      </c>
    </row>
    <row r="159" spans="1:20" ht="26.25" customHeight="1">
      <c r="A159" s="2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403"/>
      <c r="M159" s="8"/>
      <c r="N159" s="403"/>
      <c r="O159" s="8"/>
      <c r="P159" s="403"/>
      <c r="Q159" s="403"/>
      <c r="R159" s="403"/>
      <c r="S159" s="8"/>
      <c r="T159" s="8"/>
    </row>
    <row r="160" spans="1:20" ht="8.25" customHeight="1">
      <c r="A160" s="2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403"/>
      <c r="M160" s="8"/>
      <c r="N160" s="403"/>
      <c r="O160" s="8"/>
      <c r="P160" s="403"/>
      <c r="Q160" s="403"/>
      <c r="R160" s="403"/>
      <c r="S160" s="8"/>
      <c r="T160" s="8"/>
    </row>
    <row r="161" spans="1:20" ht="8.25" customHeight="1">
      <c r="A161" s="2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403"/>
      <c r="M161" s="8"/>
      <c r="N161" s="403"/>
      <c r="O161" s="8"/>
      <c r="P161" s="403"/>
      <c r="Q161" s="403"/>
      <c r="R161" s="403"/>
      <c r="S161" s="8"/>
      <c r="T161" s="8"/>
    </row>
    <row r="162" spans="1:20" ht="8.25" customHeight="1">
      <c r="A162" s="2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403"/>
      <c r="M162" s="8"/>
      <c r="N162" s="403"/>
      <c r="O162" s="8"/>
      <c r="P162" s="403"/>
      <c r="Q162" s="403"/>
      <c r="R162" s="403"/>
      <c r="S162" s="8"/>
      <c r="T162" s="8"/>
    </row>
    <row r="163" spans="1:20" ht="30.75" customHeight="1">
      <c r="A163" s="2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403"/>
      <c r="M163" s="8"/>
      <c r="N163" s="403"/>
      <c r="O163" s="8"/>
      <c r="P163" s="403"/>
      <c r="Q163" s="403"/>
      <c r="R163" s="403"/>
      <c r="S163" s="8"/>
      <c r="T163" s="8"/>
    </row>
    <row r="164" spans="1:20" ht="8.25" customHeight="1" hidden="1">
      <c r="A164" s="2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403"/>
      <c r="M164" s="8"/>
      <c r="N164" s="403"/>
      <c r="O164" s="8"/>
      <c r="P164" s="403"/>
      <c r="Q164" s="403"/>
      <c r="R164" s="403"/>
      <c r="S164" s="8"/>
      <c r="T164" s="8"/>
    </row>
    <row r="165" spans="1:20" ht="8.25" customHeight="1" hidden="1">
      <c r="A165" s="2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403"/>
      <c r="M165" s="8"/>
      <c r="N165" s="403"/>
      <c r="O165" s="8"/>
      <c r="P165" s="403"/>
      <c r="Q165" s="403"/>
      <c r="R165" s="403"/>
      <c r="S165" s="8"/>
      <c r="T165" s="8"/>
    </row>
    <row r="166" spans="1:20" ht="9" customHeight="1" hidden="1">
      <c r="A166" s="2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403"/>
      <c r="M166" s="8"/>
      <c r="N166" s="403"/>
      <c r="O166" s="8"/>
      <c r="P166" s="403"/>
      <c r="Q166" s="403"/>
      <c r="R166" s="403"/>
      <c r="S166" s="8"/>
      <c r="T166" s="8"/>
    </row>
    <row r="167" spans="1:20" ht="6.75" customHeight="1" hidden="1">
      <c r="A167" s="2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403"/>
      <c r="M167" s="8"/>
      <c r="N167" s="403"/>
      <c r="O167" s="8"/>
      <c r="P167" s="403"/>
      <c r="Q167" s="403"/>
      <c r="R167" s="403"/>
      <c r="S167" s="8"/>
      <c r="T167" s="8"/>
    </row>
    <row r="168" spans="1:20" ht="12.75" customHeight="1" hidden="1">
      <c r="A168" s="2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403"/>
      <c r="M168" s="8"/>
      <c r="N168" s="403"/>
      <c r="O168" s="8"/>
      <c r="P168" s="403"/>
      <c r="Q168" s="403"/>
      <c r="R168" s="403"/>
      <c r="S168" s="8"/>
      <c r="T168" s="8"/>
    </row>
    <row r="169" spans="1:20" ht="12.75" customHeight="1" hidden="1">
      <c r="A169" s="2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403"/>
      <c r="M169" s="8"/>
      <c r="N169" s="403"/>
      <c r="O169" s="8"/>
      <c r="P169" s="403"/>
      <c r="Q169" s="403"/>
      <c r="R169" s="403"/>
      <c r="S169" s="8"/>
      <c r="T169" s="8"/>
    </row>
    <row r="170" spans="1:20" ht="41.25" customHeight="1">
      <c r="A170" s="43"/>
      <c r="B170" s="43"/>
      <c r="C170" s="43"/>
      <c r="D170" s="43"/>
      <c r="E170" s="43"/>
      <c r="F170" s="43"/>
      <c r="G170" s="43"/>
      <c r="H170" s="43"/>
      <c r="I170" s="43"/>
      <c r="J170" s="43"/>
      <c r="K170" s="16"/>
      <c r="L170" s="581" t="s">
        <v>688</v>
      </c>
      <c r="M170" s="570" t="s">
        <v>653</v>
      </c>
      <c r="N170" s="572" t="s">
        <v>629</v>
      </c>
      <c r="O170" s="572" t="s">
        <v>681</v>
      </c>
      <c r="P170" s="572" t="s">
        <v>670</v>
      </c>
      <c r="Q170" s="572" t="s">
        <v>682</v>
      </c>
      <c r="R170" s="572" t="s">
        <v>687</v>
      </c>
      <c r="S170" s="588" t="s">
        <v>695</v>
      </c>
      <c r="T170" s="588" t="s">
        <v>694</v>
      </c>
    </row>
    <row r="171" spans="1:20" ht="14.25" customHeight="1">
      <c r="A171" s="43"/>
      <c r="B171" s="43"/>
      <c r="C171" s="43"/>
      <c r="D171" s="43"/>
      <c r="E171" s="43"/>
      <c r="F171" s="43"/>
      <c r="G171" s="43"/>
      <c r="H171" s="43"/>
      <c r="I171" s="43"/>
      <c r="J171" s="43"/>
      <c r="K171" s="16"/>
      <c r="L171" s="582"/>
      <c r="M171" s="571"/>
      <c r="N171" s="573"/>
      <c r="O171" s="573"/>
      <c r="P171" s="573"/>
      <c r="Q171" s="573"/>
      <c r="R171" s="573"/>
      <c r="S171" s="588"/>
      <c r="T171" s="588"/>
    </row>
    <row r="172" spans="1:20" ht="14.25">
      <c r="A172" s="111"/>
      <c r="B172" s="112"/>
      <c r="C172" s="112"/>
      <c r="D172" s="112"/>
      <c r="E172" s="112"/>
      <c r="F172" s="112"/>
      <c r="G172" s="112"/>
      <c r="H172" s="112"/>
      <c r="I172" s="112"/>
      <c r="J172" s="113"/>
      <c r="K172" s="114"/>
      <c r="L172" s="544">
        <v>1</v>
      </c>
      <c r="M172" s="544">
        <v>2</v>
      </c>
      <c r="N172" s="544"/>
      <c r="O172" s="544">
        <v>3</v>
      </c>
      <c r="P172" s="544">
        <v>4</v>
      </c>
      <c r="Q172" s="544">
        <v>5</v>
      </c>
      <c r="R172" s="544">
        <v>6</v>
      </c>
      <c r="S172" s="544">
        <v>7</v>
      </c>
      <c r="T172" s="544">
        <v>8</v>
      </c>
    </row>
    <row r="173" spans="1:20" ht="15.75">
      <c r="A173" s="100" t="s">
        <v>36</v>
      </c>
      <c r="B173" s="99"/>
      <c r="C173" s="62"/>
      <c r="D173" s="62"/>
      <c r="E173" s="62"/>
      <c r="F173" s="62"/>
      <c r="G173" s="62"/>
      <c r="H173" s="62"/>
      <c r="I173" s="62"/>
      <c r="J173" s="101"/>
      <c r="K173" s="539" t="s">
        <v>642</v>
      </c>
      <c r="L173" s="542">
        <f>'Posebni dio'!M730</f>
        <v>821333.8642245671</v>
      </c>
      <c r="M173" s="435">
        <f>'Posebni dio'!N730</f>
        <v>591215.5696522663</v>
      </c>
      <c r="N173" s="435"/>
      <c r="O173" s="435">
        <f>'Posebni dio'!P730</f>
        <v>612115.5696522663</v>
      </c>
      <c r="P173" s="435">
        <f>'Posebni dio'!Q730</f>
        <v>360045.85</v>
      </c>
      <c r="Q173" s="435">
        <f>'Posebni dio'!R730</f>
        <v>594511.6299999999</v>
      </c>
      <c r="R173" s="435">
        <f>'Posebni dio'!S730</f>
        <v>594845.22</v>
      </c>
      <c r="S173" s="515">
        <f>R173/L173*100</f>
        <v>72.4242900372313</v>
      </c>
      <c r="T173" s="515">
        <f>R173/Q173*100</f>
        <v>100.05611160205564</v>
      </c>
    </row>
    <row r="174" spans="1:20" ht="15.75">
      <c r="A174" s="98" t="s">
        <v>153</v>
      </c>
      <c r="B174" s="85"/>
      <c r="C174" s="85"/>
      <c r="D174" s="85"/>
      <c r="E174" s="85"/>
      <c r="F174" s="85"/>
      <c r="G174" s="85"/>
      <c r="H174" s="85"/>
      <c r="I174" s="85"/>
      <c r="J174" s="86"/>
      <c r="K174" s="539" t="s">
        <v>643</v>
      </c>
      <c r="L174" s="542">
        <f>'Posebni dio'!M731</f>
        <v>0</v>
      </c>
      <c r="M174" s="435">
        <f>'Posebni dio'!N731</f>
        <v>663.6140420731302</v>
      </c>
      <c r="N174" s="435"/>
      <c r="O174" s="435">
        <f>'Posebni dio'!P731</f>
        <v>663.6140420731302</v>
      </c>
      <c r="P174" s="435">
        <f>'Posebni dio'!Q731</f>
        <v>0</v>
      </c>
      <c r="Q174" s="435">
        <f>'Posebni dio'!R731</f>
        <v>0</v>
      </c>
      <c r="R174" s="435">
        <f>'Posebni dio'!S731</f>
        <v>0</v>
      </c>
      <c r="S174" s="515" t="e">
        <f aca="true" t="shared" si="45" ref="S174:S183">R174/L174*100</f>
        <v>#DIV/0!</v>
      </c>
      <c r="T174" s="515" t="e">
        <f aca="true" t="shared" si="46" ref="T174:T183">R174/Q174*100</f>
        <v>#DIV/0!</v>
      </c>
    </row>
    <row r="175" spans="1:20" ht="15.75">
      <c r="A175" s="98" t="s">
        <v>301</v>
      </c>
      <c r="B175" s="85"/>
      <c r="C175" s="85"/>
      <c r="D175" s="85"/>
      <c r="E175" s="85"/>
      <c r="F175" s="85"/>
      <c r="G175" s="85"/>
      <c r="H175" s="85"/>
      <c r="I175" s="85"/>
      <c r="J175" s="86"/>
      <c r="K175" s="539" t="s">
        <v>644</v>
      </c>
      <c r="L175" s="542">
        <f>'Posebni dio'!M732</f>
        <v>63416.68325701772</v>
      </c>
      <c r="M175" s="435">
        <f>'Posebni dio'!N732</f>
        <v>66361.40420731303</v>
      </c>
      <c r="N175" s="435"/>
      <c r="O175" s="435">
        <f>'Posebni dio'!P732</f>
        <v>66361.40420731303</v>
      </c>
      <c r="P175" s="435">
        <f>'Posebni dio'!Q732</f>
        <v>37475</v>
      </c>
      <c r="Q175" s="435">
        <f>'Posebni dio'!R732</f>
        <v>69400</v>
      </c>
      <c r="R175" s="435">
        <f>'Posebni dio'!S732</f>
        <v>69475</v>
      </c>
      <c r="S175" s="515">
        <f t="shared" si="45"/>
        <v>109.55319078802795</v>
      </c>
      <c r="T175" s="515">
        <f t="shared" si="46"/>
        <v>100.10806916426513</v>
      </c>
    </row>
    <row r="176" spans="1:20" ht="15.75">
      <c r="A176" s="98" t="s">
        <v>302</v>
      </c>
      <c r="B176" s="85"/>
      <c r="C176" s="85"/>
      <c r="D176" s="85"/>
      <c r="E176" s="85"/>
      <c r="F176" s="85"/>
      <c r="G176" s="85"/>
      <c r="H176" s="85"/>
      <c r="I176" s="85"/>
      <c r="J176" s="86"/>
      <c r="K176" s="539" t="s">
        <v>645</v>
      </c>
      <c r="L176" s="542">
        <f>'Posebni dio'!M733</f>
        <v>68142.80974185413</v>
      </c>
      <c r="M176" s="435">
        <f>'Posebni dio'!N733</f>
        <v>323843.6393012145</v>
      </c>
      <c r="N176" s="435"/>
      <c r="O176" s="435">
        <f>'Posebni dio'!P733</f>
        <v>265804.71528170415</v>
      </c>
      <c r="P176" s="435">
        <f>'Posebni dio'!Q733</f>
        <v>60817.4</v>
      </c>
      <c r="Q176" s="435">
        <f>'Posebni dio'!R733</f>
        <v>136573.44</v>
      </c>
      <c r="R176" s="435">
        <f>'Posebni dio'!S733</f>
        <v>127523.99999999999</v>
      </c>
      <c r="S176" s="515">
        <f t="shared" si="45"/>
        <v>187.14226854322564</v>
      </c>
      <c r="T176" s="515">
        <f t="shared" si="46"/>
        <v>93.37393859303829</v>
      </c>
    </row>
    <row r="177" spans="1:20" ht="15.75">
      <c r="A177" s="98" t="s">
        <v>303</v>
      </c>
      <c r="B177" s="85"/>
      <c r="C177" s="85"/>
      <c r="D177" s="85"/>
      <c r="E177" s="85"/>
      <c r="F177" s="85"/>
      <c r="G177" s="85"/>
      <c r="H177" s="85"/>
      <c r="I177" s="85"/>
      <c r="J177" s="86"/>
      <c r="K177" s="539" t="s">
        <v>646</v>
      </c>
      <c r="L177" s="542">
        <f>'Posebni dio'!M734</f>
        <v>36584.113079832765</v>
      </c>
      <c r="M177" s="435">
        <f>'Posebni dio'!N734</f>
        <v>121815.38958466858</v>
      </c>
      <c r="N177" s="435"/>
      <c r="O177" s="435">
        <f>'Posebni dio'!P734</f>
        <v>141381.15070674894</v>
      </c>
      <c r="P177" s="435">
        <f>'Posebni dio'!Q734</f>
        <v>33152.47</v>
      </c>
      <c r="Q177" s="435">
        <f>'Posebni dio'!R734</f>
        <v>98962.3</v>
      </c>
      <c r="R177" s="435">
        <f>'Posebni dio'!S734</f>
        <v>53551.79</v>
      </c>
      <c r="S177" s="515">
        <f t="shared" si="45"/>
        <v>146.37990507830781</v>
      </c>
      <c r="T177" s="515">
        <f t="shared" si="46"/>
        <v>54.11332396276157</v>
      </c>
    </row>
    <row r="178" spans="1:20" ht="15.75">
      <c r="A178" s="98" t="s">
        <v>300</v>
      </c>
      <c r="B178" s="85"/>
      <c r="C178" s="85"/>
      <c r="D178" s="85"/>
      <c r="E178" s="85"/>
      <c r="F178" s="85"/>
      <c r="G178" s="85"/>
      <c r="H178" s="85"/>
      <c r="I178" s="85"/>
      <c r="J178" s="86"/>
      <c r="K178" s="539" t="s">
        <v>647</v>
      </c>
      <c r="L178" s="542">
        <f>'Posebni dio'!M735</f>
        <v>527690.755856394</v>
      </c>
      <c r="M178" s="435">
        <f>'Posebni dio'!N735</f>
        <v>590697.3806279434</v>
      </c>
      <c r="N178" s="435"/>
      <c r="O178" s="435">
        <f>'Posebni dio'!P735</f>
        <v>736798.7663302143</v>
      </c>
      <c r="P178" s="435">
        <f>'Posebni dio'!Q735</f>
        <v>196107.90000000002</v>
      </c>
      <c r="Q178" s="435">
        <f>'Posebni dio'!R735</f>
        <v>576695.38</v>
      </c>
      <c r="R178" s="435">
        <f>'Posebni dio'!S735</f>
        <v>548402.98</v>
      </c>
      <c r="S178" s="515">
        <f t="shared" si="45"/>
        <v>103.92506859628267</v>
      </c>
      <c r="T178" s="515">
        <f t="shared" si="46"/>
        <v>95.09404774492904</v>
      </c>
    </row>
    <row r="179" spans="1:20" ht="15.75">
      <c r="A179" s="548" t="s">
        <v>304</v>
      </c>
      <c r="B179" s="549"/>
      <c r="C179" s="549"/>
      <c r="D179" s="549"/>
      <c r="E179" s="549"/>
      <c r="F179" s="549"/>
      <c r="G179" s="549"/>
      <c r="H179" s="549"/>
      <c r="I179" s="549"/>
      <c r="J179" s="550"/>
      <c r="K179" s="539" t="s">
        <v>648</v>
      </c>
      <c r="L179" s="542">
        <f>'Posebni dio'!M736</f>
        <v>9488.884464795274</v>
      </c>
      <c r="M179" s="435">
        <f>'Posebni dio'!N736</f>
        <v>17253.965093901385</v>
      </c>
      <c r="N179" s="435"/>
      <c r="O179" s="435">
        <f>'Posebni dio'!P736</f>
        <v>17253.965093901385</v>
      </c>
      <c r="P179" s="435">
        <f>'Posebni dio'!Q736</f>
        <v>6543.6</v>
      </c>
      <c r="Q179" s="435">
        <f>'Posebni dio'!R736</f>
        <v>17194.95</v>
      </c>
      <c r="R179" s="435">
        <f>'Posebni dio'!S736</f>
        <v>12038.640000000001</v>
      </c>
      <c r="S179" s="515">
        <f t="shared" si="45"/>
        <v>126.87097250118894</v>
      </c>
      <c r="T179" s="515">
        <f t="shared" si="46"/>
        <v>70.01264906266084</v>
      </c>
    </row>
    <row r="180" spans="1:20" ht="15">
      <c r="A180" s="548" t="s">
        <v>376</v>
      </c>
      <c r="B180" s="560"/>
      <c r="C180" s="560"/>
      <c r="D180" s="560"/>
      <c r="E180" s="560"/>
      <c r="F180" s="560"/>
      <c r="G180" s="560"/>
      <c r="H180" s="560"/>
      <c r="I180" s="560"/>
      <c r="J180" s="561"/>
      <c r="K180" s="540" t="s">
        <v>649</v>
      </c>
      <c r="L180" s="543">
        <f>'Posebni dio'!M737</f>
        <v>24635.078638263985</v>
      </c>
      <c r="M180" s="436">
        <f>'Posebni dio'!N737</f>
        <v>114141.6142524388</v>
      </c>
      <c r="N180" s="436"/>
      <c r="O180" s="436">
        <f>'Posebni dio'!P737</f>
        <v>131277.1139743845</v>
      </c>
      <c r="P180" s="436">
        <f>'Posebni dio'!Q737</f>
        <v>70054.45</v>
      </c>
      <c r="Q180" s="436">
        <f>'Posebni dio'!R737</f>
        <v>108210.01</v>
      </c>
      <c r="R180" s="436">
        <f>'Posebni dio'!S737</f>
        <v>125123.64</v>
      </c>
      <c r="S180" s="515">
        <f t="shared" si="45"/>
        <v>507.90842536891273</v>
      </c>
      <c r="T180" s="515">
        <f t="shared" si="46"/>
        <v>115.63037467605817</v>
      </c>
    </row>
    <row r="181" spans="1:20" ht="15.75">
      <c r="A181" s="98" t="s">
        <v>377</v>
      </c>
      <c r="B181" s="85"/>
      <c r="C181" s="85"/>
      <c r="D181" s="85"/>
      <c r="E181" s="85"/>
      <c r="F181" s="85"/>
      <c r="G181" s="85"/>
      <c r="H181" s="85"/>
      <c r="I181" s="85"/>
      <c r="J181" s="86"/>
      <c r="K181" s="539" t="s">
        <v>650</v>
      </c>
      <c r="L181" s="542">
        <f>'Posebni dio'!M738</f>
        <v>94702.63118322384</v>
      </c>
      <c r="M181" s="435">
        <f>'Posebni dio'!N738</f>
        <v>91857.84945450925</v>
      </c>
      <c r="N181" s="435"/>
      <c r="O181" s="435">
        <f>'Posebni dio'!P738</f>
        <v>91857.85387218793</v>
      </c>
      <c r="P181" s="435">
        <f>'Posebni dio'!Q738</f>
        <v>57348.33</v>
      </c>
      <c r="Q181" s="435">
        <f>'Posebni dio'!R738</f>
        <v>129480.26000000001</v>
      </c>
      <c r="R181" s="435">
        <f>'Posebni dio'!S738</f>
        <v>125867.36</v>
      </c>
      <c r="S181" s="515">
        <f t="shared" si="45"/>
        <v>132.90798621685693</v>
      </c>
      <c r="T181" s="515">
        <f t="shared" si="46"/>
        <v>97.20969049645096</v>
      </c>
    </row>
    <row r="182" spans="1:20" ht="15.75">
      <c r="A182" s="102"/>
      <c r="B182" s="103"/>
      <c r="C182" s="103"/>
      <c r="D182" s="103"/>
      <c r="E182" s="103"/>
      <c r="F182" s="103"/>
      <c r="G182" s="103"/>
      <c r="H182" s="103"/>
      <c r="I182" s="103"/>
      <c r="J182" s="61"/>
      <c r="K182" s="539" t="s">
        <v>651</v>
      </c>
      <c r="L182" s="542">
        <f>'Posebni dio'!M739</f>
        <v>27005.640719357616</v>
      </c>
      <c r="M182" s="435">
        <f>'Posebni dio'!N739</f>
        <v>106576.41515694471</v>
      </c>
      <c r="N182" s="435"/>
      <c r="O182" s="435">
        <f>'Posebni dio'!P739</f>
        <v>106576.41515694471</v>
      </c>
      <c r="P182" s="435">
        <f>'Posebni dio'!Q739</f>
        <v>11281.38</v>
      </c>
      <c r="Q182" s="435">
        <f>'Posebni dio'!R739</f>
        <v>25737.190000000002</v>
      </c>
      <c r="R182" s="435">
        <f>'Posebni dio'!S739</f>
        <v>25053.58</v>
      </c>
      <c r="S182" s="515">
        <f t="shared" si="45"/>
        <v>92.77165559727536</v>
      </c>
      <c r="T182" s="515">
        <f t="shared" si="46"/>
        <v>97.34388252952245</v>
      </c>
    </row>
    <row r="183" spans="1:20" ht="15.75">
      <c r="A183" s="43"/>
      <c r="B183" s="43"/>
      <c r="C183" s="43"/>
      <c r="D183" s="43"/>
      <c r="E183" s="43"/>
      <c r="F183" s="43"/>
      <c r="G183" s="43"/>
      <c r="H183" s="43"/>
      <c r="I183" s="43"/>
      <c r="J183" s="43"/>
      <c r="K183" s="37"/>
      <c r="L183" s="541">
        <f>SUM(L173:L182)</f>
        <v>1673000.4611653064</v>
      </c>
      <c r="M183" s="434">
        <f>SUM(M173:M182)</f>
        <v>2024426.8413732732</v>
      </c>
      <c r="N183" s="434"/>
      <c r="O183" s="434">
        <f>SUM(O173:O182)</f>
        <v>2170090.5683177384</v>
      </c>
      <c r="P183" s="434">
        <f>SUM(P173:P182)</f>
        <v>832826.3799999999</v>
      </c>
      <c r="Q183" s="434">
        <f>SUM(Q173:Q182)</f>
        <v>1756765.16</v>
      </c>
      <c r="R183" s="434">
        <f>SUM(R173:R182)</f>
        <v>1681882.21</v>
      </c>
      <c r="S183" s="516">
        <f t="shared" si="45"/>
        <v>100.5308874110236</v>
      </c>
      <c r="T183" s="516">
        <f t="shared" si="46"/>
        <v>95.73745246632738</v>
      </c>
    </row>
    <row r="184" spans="1:20" ht="12.7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403"/>
      <c r="M184" s="8"/>
      <c r="N184" s="403"/>
      <c r="O184" s="8"/>
      <c r="P184" s="403"/>
      <c r="Q184" s="403"/>
      <c r="R184" s="403"/>
      <c r="S184" s="8"/>
      <c r="T184" s="8"/>
    </row>
    <row r="185" spans="2:20" ht="12.75"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403"/>
      <c r="M185" s="8"/>
      <c r="N185" s="403"/>
      <c r="O185" s="8"/>
      <c r="P185" s="403"/>
      <c r="Q185" s="403"/>
      <c r="R185" s="403"/>
      <c r="S185" s="8"/>
      <c r="T185" s="8"/>
    </row>
    <row r="186" spans="2:20" ht="12.75"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403"/>
      <c r="M186" s="8"/>
      <c r="N186" s="403"/>
      <c r="O186" s="8"/>
      <c r="P186" s="403"/>
      <c r="Q186" s="403"/>
      <c r="R186" s="403"/>
      <c r="S186" s="8"/>
      <c r="T186" s="8"/>
    </row>
    <row r="187" spans="2:20" ht="12.75"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403"/>
      <c r="M187" s="8"/>
      <c r="N187" s="403"/>
      <c r="O187" s="8"/>
      <c r="P187" s="403"/>
      <c r="Q187" s="403"/>
      <c r="R187" s="403"/>
      <c r="S187" s="8"/>
      <c r="T187" s="8"/>
    </row>
    <row r="188" spans="2:20" ht="12.75"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403"/>
      <c r="M188" s="8"/>
      <c r="N188" s="403"/>
      <c r="O188" s="8"/>
      <c r="P188" s="403"/>
      <c r="Q188" s="403"/>
      <c r="R188" s="403"/>
      <c r="S188" s="8"/>
      <c r="T188" s="8"/>
    </row>
    <row r="189" spans="2:20" ht="12.75"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403"/>
      <c r="M189" s="8"/>
      <c r="N189" s="403"/>
      <c r="O189" s="8"/>
      <c r="P189" s="403"/>
      <c r="Q189" s="403"/>
      <c r="R189" s="403"/>
      <c r="S189" s="8"/>
      <c r="T189" s="8"/>
    </row>
    <row r="190" spans="2:20" ht="12.75"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403"/>
      <c r="M190" s="8"/>
      <c r="N190" s="403"/>
      <c r="O190" s="8"/>
      <c r="P190" s="403"/>
      <c r="Q190" s="403"/>
      <c r="R190" s="403"/>
      <c r="S190" s="8"/>
      <c r="T190" s="8"/>
    </row>
    <row r="191" spans="2:20" ht="12.75"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403"/>
      <c r="M191" s="8"/>
      <c r="N191" s="403"/>
      <c r="O191" s="8"/>
      <c r="P191" s="403"/>
      <c r="Q191" s="403"/>
      <c r="R191" s="403"/>
      <c r="S191" s="8"/>
      <c r="T191" s="8"/>
    </row>
    <row r="192" spans="2:20" ht="12.75"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403"/>
      <c r="M192" s="8"/>
      <c r="N192" s="403"/>
      <c r="O192" s="8"/>
      <c r="P192" s="403"/>
      <c r="Q192" s="403"/>
      <c r="R192" s="403"/>
      <c r="S192" s="8"/>
      <c r="T192" s="8"/>
    </row>
    <row r="193" spans="2:20" ht="12.75"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403"/>
      <c r="M193" s="8"/>
      <c r="N193" s="403"/>
      <c r="O193" s="8"/>
      <c r="P193" s="403"/>
      <c r="Q193" s="403"/>
      <c r="R193" s="403"/>
      <c r="S193" s="8"/>
      <c r="T193" s="8"/>
    </row>
    <row r="194" spans="2:20" ht="12.75"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403"/>
      <c r="M194" s="8"/>
      <c r="N194" s="403"/>
      <c r="O194" s="8"/>
      <c r="P194" s="403"/>
      <c r="Q194" s="403"/>
      <c r="R194" s="403"/>
      <c r="S194" s="8"/>
      <c r="T194" s="8"/>
    </row>
    <row r="195" spans="2:20" ht="12.75"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403"/>
      <c r="M195" s="8"/>
      <c r="N195" s="403"/>
      <c r="O195" s="8"/>
      <c r="P195" s="403"/>
      <c r="Q195" s="403"/>
      <c r="R195" s="403"/>
      <c r="S195" s="8"/>
      <c r="T195" s="8"/>
    </row>
    <row r="196" spans="2:20" ht="12.75"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403"/>
      <c r="M196" s="8"/>
      <c r="N196" s="403"/>
      <c r="O196" s="8"/>
      <c r="P196" s="403"/>
      <c r="Q196" s="403"/>
      <c r="R196" s="403"/>
      <c r="S196" s="8"/>
      <c r="T196" s="8"/>
    </row>
    <row r="197" spans="2:20" ht="12.75"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403"/>
      <c r="M197" s="8"/>
      <c r="N197" s="403"/>
      <c r="O197" s="8"/>
      <c r="P197" s="403"/>
      <c r="Q197" s="403"/>
      <c r="R197" s="403"/>
      <c r="S197" s="8"/>
      <c r="T197" s="8"/>
    </row>
    <row r="198" spans="2:20" ht="12.75"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403"/>
      <c r="M198" s="8"/>
      <c r="N198" s="403"/>
      <c r="O198" s="8"/>
      <c r="P198" s="403"/>
      <c r="Q198" s="403"/>
      <c r="R198" s="403"/>
      <c r="S198" s="8"/>
      <c r="T198" s="8"/>
    </row>
    <row r="199" spans="2:20" ht="12.75"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403"/>
      <c r="M199" s="8"/>
      <c r="N199" s="403"/>
      <c r="O199" s="8"/>
      <c r="P199" s="403"/>
      <c r="Q199" s="403"/>
      <c r="R199" s="403"/>
      <c r="S199" s="8"/>
      <c r="T199" s="8"/>
    </row>
    <row r="200" spans="2:20" ht="12.75"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403"/>
      <c r="M200" s="8"/>
      <c r="N200" s="403"/>
      <c r="O200" s="8"/>
      <c r="P200" s="403"/>
      <c r="Q200" s="403"/>
      <c r="R200" s="403"/>
      <c r="S200" s="8"/>
      <c r="T200" s="8"/>
    </row>
    <row r="201" spans="2:20" ht="12.75"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403"/>
      <c r="M201" s="8"/>
      <c r="N201" s="403"/>
      <c r="O201" s="8"/>
      <c r="P201" s="403"/>
      <c r="Q201" s="403"/>
      <c r="R201" s="403"/>
      <c r="S201" s="8"/>
      <c r="T201" s="8"/>
    </row>
    <row r="202" spans="2:20" ht="12.75"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403"/>
      <c r="M202" s="8"/>
      <c r="N202" s="403"/>
      <c r="O202" s="8"/>
      <c r="P202" s="403"/>
      <c r="Q202" s="403"/>
      <c r="R202" s="403"/>
      <c r="S202" s="8"/>
      <c r="T202" s="8"/>
    </row>
    <row r="203" spans="2:20" ht="12.75"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403"/>
      <c r="M203" s="8"/>
      <c r="N203" s="403"/>
      <c r="O203" s="8"/>
      <c r="P203" s="403"/>
      <c r="Q203" s="403"/>
      <c r="R203" s="403"/>
      <c r="S203" s="8"/>
      <c r="T203" s="8"/>
    </row>
    <row r="204" spans="2:20" ht="12.75"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403"/>
      <c r="M204" s="8"/>
      <c r="N204" s="403"/>
      <c r="O204" s="8"/>
      <c r="P204" s="403"/>
      <c r="Q204" s="403"/>
      <c r="R204" s="403"/>
      <c r="S204" s="8"/>
      <c r="T204" s="8"/>
    </row>
    <row r="205" spans="2:20" ht="12.75"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403"/>
      <c r="M205" s="8"/>
      <c r="N205" s="403"/>
      <c r="O205" s="8"/>
      <c r="P205" s="403"/>
      <c r="Q205" s="403"/>
      <c r="R205" s="403"/>
      <c r="S205" s="8"/>
      <c r="T205" s="8"/>
    </row>
    <row r="206" spans="2:20" ht="12.75"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403"/>
      <c r="M206" s="8"/>
      <c r="N206" s="403"/>
      <c r="O206" s="8"/>
      <c r="P206" s="403"/>
      <c r="Q206" s="403"/>
      <c r="R206" s="403"/>
      <c r="S206" s="8"/>
      <c r="T206" s="8"/>
    </row>
    <row r="207" spans="2:20" ht="12.75"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403"/>
      <c r="M207" s="8"/>
      <c r="N207" s="403"/>
      <c r="O207" s="8"/>
      <c r="P207" s="403"/>
      <c r="Q207" s="403"/>
      <c r="R207" s="403"/>
      <c r="S207" s="8"/>
      <c r="T207" s="8"/>
    </row>
    <row r="208" spans="2:20" ht="12.75"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403"/>
      <c r="M208" s="8"/>
      <c r="N208" s="403"/>
      <c r="O208" s="8"/>
      <c r="P208" s="403"/>
      <c r="Q208" s="403"/>
      <c r="R208" s="403"/>
      <c r="S208" s="8"/>
      <c r="T208" s="8"/>
    </row>
    <row r="209" spans="2:20" ht="12.75"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403"/>
      <c r="M209" s="8"/>
      <c r="N209" s="403"/>
      <c r="O209" s="8"/>
      <c r="P209" s="403"/>
      <c r="Q209" s="403"/>
      <c r="R209" s="403"/>
      <c r="S209" s="8"/>
      <c r="T209" s="8"/>
    </row>
    <row r="210" spans="2:20" ht="12.75"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403"/>
      <c r="M210" s="8"/>
      <c r="N210" s="403"/>
      <c r="O210" s="8"/>
      <c r="P210" s="403"/>
      <c r="Q210" s="403"/>
      <c r="R210" s="403"/>
      <c r="S210" s="8"/>
      <c r="T210" s="8"/>
    </row>
    <row r="211" spans="2:20" ht="12.75"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403"/>
      <c r="M211" s="8"/>
      <c r="N211" s="403"/>
      <c r="O211" s="8"/>
      <c r="P211" s="403"/>
      <c r="Q211" s="403"/>
      <c r="R211" s="403"/>
      <c r="S211" s="8"/>
      <c r="T211" s="8"/>
    </row>
    <row r="212" spans="2:20" ht="12.75"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403"/>
      <c r="M212" s="8"/>
      <c r="N212" s="403"/>
      <c r="O212" s="8"/>
      <c r="P212" s="403"/>
      <c r="Q212" s="403"/>
      <c r="R212" s="403"/>
      <c r="S212" s="8"/>
      <c r="T212" s="8"/>
    </row>
    <row r="213" spans="2:20" ht="12.75"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403"/>
      <c r="M213" s="8"/>
      <c r="N213" s="403"/>
      <c r="O213" s="8"/>
      <c r="P213" s="403"/>
      <c r="Q213" s="403"/>
      <c r="R213" s="403"/>
      <c r="S213" s="8"/>
      <c r="T213" s="8"/>
    </row>
    <row r="214" spans="2:20" ht="12.75"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403"/>
      <c r="M214" s="8"/>
      <c r="N214" s="403"/>
      <c r="O214" s="8"/>
      <c r="P214" s="403"/>
      <c r="Q214" s="403"/>
      <c r="R214" s="403"/>
      <c r="S214" s="8"/>
      <c r="T214" s="8"/>
    </row>
    <row r="215" spans="2:20" ht="12.75"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403"/>
      <c r="M215" s="8"/>
      <c r="N215" s="403"/>
      <c r="O215" s="8"/>
      <c r="P215" s="403"/>
      <c r="Q215" s="403"/>
      <c r="R215" s="403"/>
      <c r="S215" s="8"/>
      <c r="T215" s="8"/>
    </row>
    <row r="216" spans="2:20" ht="12.75"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403"/>
      <c r="M216" s="8"/>
      <c r="N216" s="403"/>
      <c r="O216" s="8"/>
      <c r="P216" s="403"/>
      <c r="Q216" s="403"/>
      <c r="R216" s="403"/>
      <c r="S216" s="8"/>
      <c r="T216" s="8"/>
    </row>
    <row r="217" spans="2:20" ht="12.75"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403"/>
      <c r="M217" s="8"/>
      <c r="N217" s="403"/>
      <c r="O217" s="8"/>
      <c r="P217" s="403"/>
      <c r="Q217" s="403"/>
      <c r="R217" s="403"/>
      <c r="S217" s="8"/>
      <c r="T217" s="8"/>
    </row>
    <row r="218" spans="2:20" ht="12.75"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403"/>
      <c r="M218" s="8"/>
      <c r="N218" s="403"/>
      <c r="O218" s="8"/>
      <c r="P218" s="403"/>
      <c r="Q218" s="403"/>
      <c r="R218" s="403"/>
      <c r="S218" s="8"/>
      <c r="T218" s="8"/>
    </row>
    <row r="219" spans="2:20" ht="12.75"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403"/>
      <c r="M219" s="8"/>
      <c r="N219" s="403"/>
      <c r="O219" s="8"/>
      <c r="P219" s="403"/>
      <c r="Q219" s="403"/>
      <c r="R219" s="403"/>
      <c r="S219" s="8"/>
      <c r="T219" s="8"/>
    </row>
    <row r="220" spans="2:20" ht="12.75"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403"/>
      <c r="M220" s="8"/>
      <c r="N220" s="403"/>
      <c r="O220" s="8"/>
      <c r="P220" s="403"/>
      <c r="Q220" s="403"/>
      <c r="R220" s="403"/>
      <c r="S220" s="8"/>
      <c r="T220" s="8"/>
    </row>
    <row r="221" spans="2:20" ht="12.75"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403"/>
      <c r="M221" s="8"/>
      <c r="N221" s="403"/>
      <c r="O221" s="8"/>
      <c r="P221" s="403"/>
      <c r="Q221" s="403"/>
      <c r="R221" s="403"/>
      <c r="S221" s="8"/>
      <c r="T221" s="8"/>
    </row>
    <row r="222" spans="2:20" ht="12.75"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403"/>
      <c r="M222" s="8"/>
      <c r="N222" s="403"/>
      <c r="O222" s="8"/>
      <c r="P222" s="403"/>
      <c r="Q222" s="403"/>
      <c r="R222" s="403"/>
      <c r="S222" s="8"/>
      <c r="T222" s="8"/>
    </row>
    <row r="223" spans="2:20" ht="12.75"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403"/>
      <c r="M223" s="8"/>
      <c r="N223" s="403"/>
      <c r="O223" s="8"/>
      <c r="P223" s="403"/>
      <c r="Q223" s="403"/>
      <c r="R223" s="403"/>
      <c r="S223" s="8"/>
      <c r="T223" s="8"/>
    </row>
    <row r="224" spans="2:20" ht="12.75"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403"/>
      <c r="M224" s="8"/>
      <c r="N224" s="403"/>
      <c r="O224" s="8"/>
      <c r="P224" s="403"/>
      <c r="Q224" s="403"/>
      <c r="R224" s="403"/>
      <c r="S224" s="8"/>
      <c r="T224" s="8"/>
    </row>
    <row r="225" spans="2:20" ht="12.75"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403"/>
      <c r="M225" s="8"/>
      <c r="N225" s="403"/>
      <c r="O225" s="8"/>
      <c r="P225" s="403"/>
      <c r="Q225" s="403"/>
      <c r="R225" s="403"/>
      <c r="S225" s="8"/>
      <c r="T225" s="8"/>
    </row>
    <row r="226" spans="2:20" ht="12.75"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403"/>
      <c r="M226" s="8"/>
      <c r="N226" s="403"/>
      <c r="O226" s="8"/>
      <c r="P226" s="403"/>
      <c r="Q226" s="403"/>
      <c r="R226" s="403"/>
      <c r="S226" s="8"/>
      <c r="T226" s="8"/>
    </row>
    <row r="227" spans="2:20" ht="12.75"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403"/>
      <c r="M227" s="8"/>
      <c r="N227" s="403"/>
      <c r="O227" s="8"/>
      <c r="P227" s="403"/>
      <c r="Q227" s="403"/>
      <c r="R227" s="403"/>
      <c r="S227" s="8"/>
      <c r="T227" s="8"/>
    </row>
    <row r="228" spans="2:20" ht="12.75"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403"/>
      <c r="M228" s="8"/>
      <c r="N228" s="403"/>
      <c r="O228" s="8"/>
      <c r="P228" s="403"/>
      <c r="Q228" s="403"/>
      <c r="R228" s="403"/>
      <c r="S228" s="8"/>
      <c r="T228" s="8"/>
    </row>
    <row r="229" spans="2:20" ht="12.75"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403"/>
      <c r="M229" s="8"/>
      <c r="N229" s="403"/>
      <c r="O229" s="8"/>
      <c r="P229" s="403"/>
      <c r="Q229" s="403"/>
      <c r="R229" s="403"/>
      <c r="S229" s="8"/>
      <c r="T229" s="8"/>
    </row>
    <row r="230" spans="2:20" ht="12.75"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403"/>
      <c r="M230" s="8"/>
      <c r="N230" s="403"/>
      <c r="O230" s="8"/>
      <c r="P230" s="403"/>
      <c r="Q230" s="403"/>
      <c r="R230" s="403"/>
      <c r="S230" s="8"/>
      <c r="T230" s="8"/>
    </row>
    <row r="231" spans="2:20" ht="12.75"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403"/>
      <c r="M231" s="8"/>
      <c r="N231" s="403"/>
      <c r="O231" s="8"/>
      <c r="P231" s="403"/>
      <c r="Q231" s="403"/>
      <c r="R231" s="403"/>
      <c r="S231" s="8"/>
      <c r="T231" s="8"/>
    </row>
    <row r="232" spans="2:20" ht="12.75"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403"/>
      <c r="M232" s="8"/>
      <c r="N232" s="403"/>
      <c r="O232" s="8"/>
      <c r="P232" s="403"/>
      <c r="Q232" s="403"/>
      <c r="R232" s="403"/>
      <c r="S232" s="8"/>
      <c r="T232" s="8"/>
    </row>
    <row r="233" spans="2:20" ht="12.75"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403"/>
      <c r="M233" s="8"/>
      <c r="N233" s="403"/>
      <c r="O233" s="8"/>
      <c r="P233" s="403"/>
      <c r="Q233" s="403"/>
      <c r="R233" s="403"/>
      <c r="S233" s="8"/>
      <c r="T233" s="8"/>
    </row>
    <row r="234" spans="2:20" ht="12.75"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403"/>
      <c r="M234" s="8"/>
      <c r="N234" s="403"/>
      <c r="O234" s="8"/>
      <c r="P234" s="403"/>
      <c r="Q234" s="403"/>
      <c r="R234" s="403"/>
      <c r="S234" s="8"/>
      <c r="T234" s="8"/>
    </row>
    <row r="235" spans="2:20" ht="12.75"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403"/>
      <c r="M235" s="8"/>
      <c r="N235" s="403"/>
      <c r="O235" s="8"/>
      <c r="P235" s="403"/>
      <c r="Q235" s="403"/>
      <c r="R235" s="403"/>
      <c r="S235" s="8"/>
      <c r="T235" s="8"/>
    </row>
    <row r="236" spans="2:20" ht="12.75"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403"/>
      <c r="M236" s="8"/>
      <c r="N236" s="403"/>
      <c r="O236" s="8"/>
      <c r="P236" s="403"/>
      <c r="Q236" s="403"/>
      <c r="R236" s="403"/>
      <c r="S236" s="8"/>
      <c r="T236" s="8"/>
    </row>
    <row r="237" spans="2:20" ht="12.75"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403"/>
      <c r="M237" s="8"/>
      <c r="N237" s="403"/>
      <c r="O237" s="8"/>
      <c r="P237" s="403"/>
      <c r="Q237" s="403"/>
      <c r="R237" s="403"/>
      <c r="S237" s="8"/>
      <c r="T237" s="8"/>
    </row>
    <row r="238" spans="2:20" ht="12.75"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403"/>
      <c r="M238" s="8"/>
      <c r="N238" s="403"/>
      <c r="O238" s="8"/>
      <c r="P238" s="403"/>
      <c r="Q238" s="403"/>
      <c r="R238" s="403"/>
      <c r="S238" s="8"/>
      <c r="T238" s="8"/>
    </row>
    <row r="239" spans="2:20" ht="12.75"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403"/>
      <c r="M239" s="8"/>
      <c r="N239" s="403"/>
      <c r="O239" s="8"/>
      <c r="P239" s="403"/>
      <c r="Q239" s="403"/>
      <c r="R239" s="403"/>
      <c r="S239" s="8"/>
      <c r="T239" s="8"/>
    </row>
    <row r="240" spans="2:20" ht="12.75"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403"/>
      <c r="M240" s="8"/>
      <c r="N240" s="403"/>
      <c r="O240" s="8"/>
      <c r="P240" s="403"/>
      <c r="Q240" s="403"/>
      <c r="R240" s="403"/>
      <c r="S240" s="8"/>
      <c r="T240" s="8"/>
    </row>
    <row r="241" spans="2:20" ht="12.75"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403"/>
      <c r="M241" s="8"/>
      <c r="N241" s="403"/>
      <c r="O241" s="8"/>
      <c r="P241" s="403"/>
      <c r="Q241" s="403"/>
      <c r="R241" s="403"/>
      <c r="S241" s="8"/>
      <c r="T241" s="8"/>
    </row>
    <row r="242" spans="2:20" ht="12.75"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403"/>
      <c r="M242" s="8"/>
      <c r="N242" s="403"/>
      <c r="O242" s="8"/>
      <c r="P242" s="403"/>
      <c r="Q242" s="403"/>
      <c r="R242" s="403"/>
      <c r="S242" s="8"/>
      <c r="T242" s="8"/>
    </row>
    <row r="243" spans="2:20" ht="12.75"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403"/>
      <c r="M243" s="8"/>
      <c r="N243" s="403"/>
      <c r="O243" s="8"/>
      <c r="P243" s="403"/>
      <c r="Q243" s="403"/>
      <c r="R243" s="403"/>
      <c r="S243" s="8"/>
      <c r="T243" s="8"/>
    </row>
    <row r="244" spans="2:20" ht="12.75"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403"/>
      <c r="M244" s="8"/>
      <c r="N244" s="403"/>
      <c r="O244" s="8"/>
      <c r="P244" s="403"/>
      <c r="Q244" s="403"/>
      <c r="R244" s="403"/>
      <c r="S244" s="8"/>
      <c r="T244" s="8"/>
    </row>
    <row r="245" spans="2:20" ht="12.75"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403"/>
      <c r="M245" s="8"/>
      <c r="N245" s="403"/>
      <c r="O245" s="8"/>
      <c r="P245" s="403"/>
      <c r="Q245" s="403"/>
      <c r="R245" s="403"/>
      <c r="S245" s="8"/>
      <c r="T245" s="8"/>
    </row>
    <row r="246" spans="2:20" ht="12.75"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403"/>
      <c r="M246" s="8"/>
      <c r="N246" s="403"/>
      <c r="O246" s="8"/>
      <c r="P246" s="403"/>
      <c r="Q246" s="403"/>
      <c r="R246" s="403"/>
      <c r="S246" s="8"/>
      <c r="T246" s="8"/>
    </row>
    <row r="247" spans="2:20" ht="12.75"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403"/>
      <c r="M247" s="8"/>
      <c r="N247" s="403"/>
      <c r="O247" s="8"/>
      <c r="P247" s="403"/>
      <c r="Q247" s="403"/>
      <c r="R247" s="403"/>
      <c r="S247" s="8"/>
      <c r="T247" s="8"/>
    </row>
    <row r="248" spans="2:20" ht="12.75"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403"/>
      <c r="M248" s="8"/>
      <c r="N248" s="403"/>
      <c r="O248" s="8"/>
      <c r="P248" s="403"/>
      <c r="Q248" s="403"/>
      <c r="R248" s="403"/>
      <c r="S248" s="8"/>
      <c r="T248" s="8"/>
    </row>
    <row r="249" spans="2:20" ht="12.75"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403"/>
      <c r="M249" s="8"/>
      <c r="N249" s="403"/>
      <c r="O249" s="8"/>
      <c r="P249" s="403"/>
      <c r="Q249" s="403"/>
      <c r="R249" s="403"/>
      <c r="S249" s="8"/>
      <c r="T249" s="8"/>
    </row>
    <row r="250" spans="2:20" ht="12.75"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403"/>
      <c r="M250" s="8"/>
      <c r="N250" s="403"/>
      <c r="O250" s="8"/>
      <c r="P250" s="403"/>
      <c r="Q250" s="403"/>
      <c r="R250" s="403"/>
      <c r="S250" s="8"/>
      <c r="T250" s="8"/>
    </row>
    <row r="251" spans="2:20" ht="12.75"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403"/>
      <c r="M251" s="8"/>
      <c r="N251" s="403"/>
      <c r="O251" s="8"/>
      <c r="P251" s="403"/>
      <c r="Q251" s="403"/>
      <c r="R251" s="403"/>
      <c r="S251" s="8"/>
      <c r="T251" s="8"/>
    </row>
    <row r="252" spans="2:20" ht="12.75"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403"/>
      <c r="M252" s="8"/>
      <c r="N252" s="403"/>
      <c r="O252" s="8"/>
      <c r="P252" s="403"/>
      <c r="Q252" s="403"/>
      <c r="R252" s="403"/>
      <c r="S252" s="8"/>
      <c r="T252" s="8"/>
    </row>
    <row r="253" spans="2:20" ht="12.75"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403"/>
      <c r="M253" s="8"/>
      <c r="N253" s="403"/>
      <c r="O253" s="8"/>
      <c r="P253" s="403"/>
      <c r="Q253" s="403"/>
      <c r="R253" s="403"/>
      <c r="S253" s="8"/>
      <c r="T253" s="8"/>
    </row>
    <row r="254" spans="2:20" ht="12.75"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403"/>
      <c r="M254" s="8"/>
      <c r="N254" s="403"/>
      <c r="O254" s="8"/>
      <c r="P254" s="403"/>
      <c r="Q254" s="403"/>
      <c r="R254" s="403"/>
      <c r="S254" s="8"/>
      <c r="T254" s="8"/>
    </row>
    <row r="255" spans="2:20" ht="12.75"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403"/>
      <c r="M255" s="8"/>
      <c r="N255" s="403"/>
      <c r="O255" s="8"/>
      <c r="P255" s="403"/>
      <c r="Q255" s="403"/>
      <c r="R255" s="403"/>
      <c r="S255" s="8"/>
      <c r="T255" s="8"/>
    </row>
    <row r="256" spans="2:20" ht="12.75"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403"/>
      <c r="M256" s="8"/>
      <c r="N256" s="403"/>
      <c r="O256" s="8"/>
      <c r="P256" s="403"/>
      <c r="Q256" s="403"/>
      <c r="R256" s="403"/>
      <c r="S256" s="8"/>
      <c r="T256" s="8"/>
    </row>
    <row r="257" spans="2:20" ht="12.75"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403"/>
      <c r="M257" s="8"/>
      <c r="N257" s="403"/>
      <c r="O257" s="8"/>
      <c r="P257" s="403"/>
      <c r="Q257" s="403"/>
      <c r="R257" s="403"/>
      <c r="S257" s="8"/>
      <c r="T257" s="8"/>
    </row>
    <row r="258" spans="2:20" ht="12.75"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403"/>
      <c r="M258" s="8"/>
      <c r="N258" s="403"/>
      <c r="O258" s="8"/>
      <c r="P258" s="403"/>
      <c r="Q258" s="403"/>
      <c r="R258" s="403"/>
      <c r="S258" s="8"/>
      <c r="T258" s="8"/>
    </row>
    <row r="259" spans="2:20" ht="12.75"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403"/>
      <c r="M259" s="8"/>
      <c r="N259" s="403"/>
      <c r="O259" s="8"/>
      <c r="P259" s="403"/>
      <c r="Q259" s="403"/>
      <c r="R259" s="403"/>
      <c r="S259" s="8"/>
      <c r="T259" s="8"/>
    </row>
    <row r="260" spans="2:20" ht="12.75"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403"/>
      <c r="M260" s="8"/>
      <c r="N260" s="403"/>
      <c r="O260" s="8"/>
      <c r="P260" s="403"/>
      <c r="Q260" s="403"/>
      <c r="R260" s="403"/>
      <c r="S260" s="8"/>
      <c r="T260" s="8"/>
    </row>
    <row r="261" spans="2:20" ht="12.75"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403"/>
      <c r="M261" s="8"/>
      <c r="N261" s="403"/>
      <c r="O261" s="8"/>
      <c r="P261" s="403"/>
      <c r="Q261" s="403"/>
      <c r="R261" s="403"/>
      <c r="S261" s="8"/>
      <c r="T261" s="8"/>
    </row>
    <row r="262" spans="2:20" ht="12.75"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403"/>
      <c r="M262" s="8"/>
      <c r="N262" s="403"/>
      <c r="O262" s="8"/>
      <c r="P262" s="403"/>
      <c r="Q262" s="403"/>
      <c r="R262" s="403"/>
      <c r="S262" s="8"/>
      <c r="T262" s="8"/>
    </row>
    <row r="263" spans="2:20" ht="12.75"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403"/>
      <c r="M263" s="8"/>
      <c r="N263" s="403"/>
      <c r="O263" s="8"/>
      <c r="P263" s="403"/>
      <c r="Q263" s="403"/>
      <c r="R263" s="403"/>
      <c r="S263" s="8"/>
      <c r="T263" s="8"/>
    </row>
    <row r="264" spans="2:20" ht="12.75"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403"/>
      <c r="M264" s="8"/>
      <c r="N264" s="403"/>
      <c r="O264" s="8"/>
      <c r="P264" s="403"/>
      <c r="Q264" s="403"/>
      <c r="R264" s="403"/>
      <c r="S264" s="8"/>
      <c r="T264" s="8"/>
    </row>
    <row r="265" spans="2:20" ht="12.75"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403"/>
      <c r="M265" s="8"/>
      <c r="N265" s="403"/>
      <c r="O265" s="8"/>
      <c r="P265" s="403"/>
      <c r="Q265" s="403"/>
      <c r="R265" s="403"/>
      <c r="S265" s="8"/>
      <c r="T265" s="8"/>
    </row>
    <row r="266" spans="2:20" ht="12.75"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403"/>
      <c r="M266" s="8"/>
      <c r="N266" s="403"/>
      <c r="O266" s="8"/>
      <c r="P266" s="403"/>
      <c r="Q266" s="403"/>
      <c r="R266" s="403"/>
      <c r="S266" s="8"/>
      <c r="T266" s="8"/>
    </row>
    <row r="267" spans="2:20" ht="12.75"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403"/>
      <c r="M267" s="8"/>
      <c r="N267" s="403"/>
      <c r="O267" s="8"/>
      <c r="P267" s="403"/>
      <c r="Q267" s="403"/>
      <c r="R267" s="403"/>
      <c r="S267" s="8"/>
      <c r="T267" s="8"/>
    </row>
    <row r="268" spans="2:20" ht="12.75"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403"/>
      <c r="M268" s="8"/>
      <c r="N268" s="403"/>
      <c r="O268" s="8"/>
      <c r="P268" s="403"/>
      <c r="Q268" s="403"/>
      <c r="R268" s="403"/>
      <c r="S268" s="8"/>
      <c r="T268" s="8"/>
    </row>
    <row r="269" spans="2:20" ht="12.75"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403"/>
      <c r="M269" s="8"/>
      <c r="N269" s="403"/>
      <c r="O269" s="8"/>
      <c r="P269" s="403"/>
      <c r="Q269" s="403"/>
      <c r="R269" s="403"/>
      <c r="S269" s="8"/>
      <c r="T269" s="8"/>
    </row>
    <row r="270" spans="2:20" ht="12.75"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403"/>
      <c r="M270" s="8"/>
      <c r="N270" s="403"/>
      <c r="O270" s="8"/>
      <c r="P270" s="403"/>
      <c r="Q270" s="403"/>
      <c r="R270" s="403"/>
      <c r="S270" s="8"/>
      <c r="T270" s="8"/>
    </row>
    <row r="271" spans="2:20" ht="12.75"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403"/>
      <c r="M271" s="8"/>
      <c r="N271" s="403"/>
      <c r="O271" s="8"/>
      <c r="P271" s="403"/>
      <c r="Q271" s="403"/>
      <c r="R271" s="403"/>
      <c r="S271" s="8"/>
      <c r="T271" s="8"/>
    </row>
    <row r="272" spans="2:20" ht="12.75"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403"/>
      <c r="M272" s="8"/>
      <c r="N272" s="403"/>
      <c r="O272" s="8"/>
      <c r="P272" s="403"/>
      <c r="Q272" s="403"/>
      <c r="R272" s="403"/>
      <c r="S272" s="8"/>
      <c r="T272" s="8"/>
    </row>
    <row r="273" spans="2:20" ht="12.75"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403"/>
      <c r="M273" s="8"/>
      <c r="N273" s="403"/>
      <c r="O273" s="8"/>
      <c r="P273" s="403"/>
      <c r="Q273" s="403"/>
      <c r="R273" s="403"/>
      <c r="S273" s="8"/>
      <c r="T273" s="8"/>
    </row>
    <row r="274" spans="2:20" ht="12.75"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403"/>
      <c r="M274" s="8"/>
      <c r="N274" s="403"/>
      <c r="O274" s="8"/>
      <c r="P274" s="403"/>
      <c r="Q274" s="403"/>
      <c r="R274" s="403"/>
      <c r="S274" s="8"/>
      <c r="T274" s="8"/>
    </row>
    <row r="275" spans="2:20" ht="12.75"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403"/>
      <c r="M275" s="8"/>
      <c r="N275" s="403"/>
      <c r="O275" s="8"/>
      <c r="P275" s="403"/>
      <c r="Q275" s="403"/>
      <c r="R275" s="403"/>
      <c r="S275" s="8"/>
      <c r="T275" s="8"/>
    </row>
    <row r="276" spans="2:20" ht="12.75"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403"/>
      <c r="M276" s="8"/>
      <c r="N276" s="403"/>
      <c r="O276" s="8"/>
      <c r="P276" s="403"/>
      <c r="Q276" s="403"/>
      <c r="R276" s="403"/>
      <c r="S276" s="8"/>
      <c r="T276" s="8"/>
    </row>
    <row r="277" spans="2:20" ht="12.75"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403"/>
      <c r="M277" s="8"/>
      <c r="N277" s="403"/>
      <c r="O277" s="8"/>
      <c r="P277" s="403"/>
      <c r="Q277" s="403"/>
      <c r="R277" s="403"/>
      <c r="S277" s="8"/>
      <c r="T277" s="8"/>
    </row>
    <row r="278" spans="2:20" ht="12.75"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403"/>
      <c r="M278" s="8"/>
      <c r="N278" s="403"/>
      <c r="O278" s="8"/>
      <c r="P278" s="403"/>
      <c r="Q278" s="403"/>
      <c r="R278" s="403"/>
      <c r="S278" s="8"/>
      <c r="T278" s="8"/>
    </row>
    <row r="279" spans="2:20" ht="12.75"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403"/>
      <c r="M279" s="8"/>
      <c r="N279" s="403"/>
      <c r="O279" s="8"/>
      <c r="P279" s="403"/>
      <c r="Q279" s="403"/>
      <c r="R279" s="403"/>
      <c r="S279" s="8"/>
      <c r="T279" s="8"/>
    </row>
    <row r="280" spans="2:20" ht="12.75"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403"/>
      <c r="M280" s="8"/>
      <c r="N280" s="403"/>
      <c r="O280" s="8"/>
      <c r="P280" s="403"/>
      <c r="Q280" s="403"/>
      <c r="R280" s="403"/>
      <c r="S280" s="8"/>
      <c r="T280" s="8"/>
    </row>
    <row r="281" spans="2:20" ht="12.75"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403"/>
      <c r="M281" s="8"/>
      <c r="N281" s="403"/>
      <c r="O281" s="8"/>
      <c r="P281" s="403"/>
      <c r="Q281" s="403"/>
      <c r="R281" s="403"/>
      <c r="S281" s="8"/>
      <c r="T281" s="8"/>
    </row>
    <row r="282" spans="2:20" ht="12.75"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403"/>
      <c r="M282" s="8"/>
      <c r="N282" s="403"/>
      <c r="O282" s="8"/>
      <c r="P282" s="403"/>
      <c r="Q282" s="403"/>
      <c r="R282" s="403"/>
      <c r="S282" s="8"/>
      <c r="T282" s="8"/>
    </row>
    <row r="283" spans="2:20" ht="12.75"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403"/>
      <c r="M283" s="8"/>
      <c r="N283" s="403"/>
      <c r="O283" s="8"/>
      <c r="P283" s="403"/>
      <c r="Q283" s="403"/>
      <c r="R283" s="403"/>
      <c r="S283" s="8"/>
      <c r="T283" s="8"/>
    </row>
    <row r="284" spans="2:20" ht="12.75"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403"/>
      <c r="M284" s="8"/>
      <c r="N284" s="403"/>
      <c r="O284" s="8"/>
      <c r="P284" s="403"/>
      <c r="Q284" s="403"/>
      <c r="R284" s="403"/>
      <c r="S284" s="8"/>
      <c r="T284" s="8"/>
    </row>
    <row r="285" spans="2:20" ht="12.75"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403"/>
      <c r="M285" s="8"/>
      <c r="N285" s="403"/>
      <c r="O285" s="8"/>
      <c r="P285" s="403"/>
      <c r="Q285" s="403"/>
      <c r="R285" s="403"/>
      <c r="S285" s="8"/>
      <c r="T285" s="8"/>
    </row>
    <row r="286" spans="2:20" ht="12.75"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403"/>
      <c r="M286" s="8"/>
      <c r="N286" s="403"/>
      <c r="O286" s="8"/>
      <c r="P286" s="403"/>
      <c r="Q286" s="403"/>
      <c r="R286" s="403"/>
      <c r="S286" s="8"/>
      <c r="T286" s="8"/>
    </row>
    <row r="287" spans="2:20" ht="12.75"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403"/>
      <c r="M287" s="8"/>
      <c r="N287" s="403"/>
      <c r="O287" s="8"/>
      <c r="P287" s="403"/>
      <c r="Q287" s="403"/>
      <c r="R287" s="403"/>
      <c r="S287" s="8"/>
      <c r="T287" s="8"/>
    </row>
    <row r="288" spans="2:20" ht="12.75"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403"/>
      <c r="M288" s="8"/>
      <c r="N288" s="403"/>
      <c r="O288" s="8"/>
      <c r="P288" s="403"/>
      <c r="Q288" s="403"/>
      <c r="R288" s="403"/>
      <c r="S288" s="8"/>
      <c r="T288" s="8"/>
    </row>
    <row r="289" spans="2:20" ht="12.75"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403"/>
      <c r="M289" s="8"/>
      <c r="N289" s="403"/>
      <c r="O289" s="8"/>
      <c r="P289" s="403"/>
      <c r="Q289" s="403"/>
      <c r="R289" s="403"/>
      <c r="S289" s="8"/>
      <c r="T289" s="8"/>
    </row>
    <row r="290" spans="2:20" ht="12.75"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403"/>
      <c r="M290" s="8"/>
      <c r="N290" s="403"/>
      <c r="O290" s="8"/>
      <c r="P290" s="403"/>
      <c r="Q290" s="403"/>
      <c r="R290" s="403"/>
      <c r="S290" s="8"/>
      <c r="T290" s="8"/>
    </row>
    <row r="291" spans="2:20" ht="12.75"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403"/>
      <c r="M291" s="8"/>
      <c r="N291" s="403"/>
      <c r="O291" s="8"/>
      <c r="P291" s="403"/>
      <c r="Q291" s="403"/>
      <c r="R291" s="403"/>
      <c r="S291" s="8"/>
      <c r="T291" s="8"/>
    </row>
    <row r="292" spans="2:20" ht="12.75"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403"/>
      <c r="M292" s="8"/>
      <c r="N292" s="403"/>
      <c r="O292" s="8"/>
      <c r="P292" s="403"/>
      <c r="Q292" s="403"/>
      <c r="R292" s="403"/>
      <c r="S292" s="8"/>
      <c r="T292" s="8"/>
    </row>
    <row r="293" spans="2:20" ht="12.75"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403"/>
      <c r="M293" s="8"/>
      <c r="N293" s="403"/>
      <c r="O293" s="8"/>
      <c r="P293" s="403"/>
      <c r="Q293" s="403"/>
      <c r="R293" s="403"/>
      <c r="S293" s="8"/>
      <c r="T293" s="8"/>
    </row>
    <row r="294" spans="2:20" ht="12.75"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403"/>
      <c r="M294" s="8"/>
      <c r="N294" s="403"/>
      <c r="O294" s="8"/>
      <c r="P294" s="403"/>
      <c r="Q294" s="403"/>
      <c r="R294" s="403"/>
      <c r="S294" s="8"/>
      <c r="T294" s="8"/>
    </row>
    <row r="295" spans="2:20" ht="12.75"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403"/>
      <c r="M295" s="8"/>
      <c r="N295" s="403"/>
      <c r="O295" s="8"/>
      <c r="P295" s="403"/>
      <c r="Q295" s="403"/>
      <c r="R295" s="403"/>
      <c r="S295" s="8"/>
      <c r="T295" s="8"/>
    </row>
    <row r="296" spans="2:20" ht="12.75"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403"/>
      <c r="M296" s="8"/>
      <c r="N296" s="403"/>
      <c r="O296" s="8"/>
      <c r="P296" s="403"/>
      <c r="Q296" s="403"/>
      <c r="R296" s="403"/>
      <c r="S296" s="8"/>
      <c r="T296" s="8"/>
    </row>
    <row r="297" spans="2:20" ht="12.75"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403"/>
      <c r="M297" s="8"/>
      <c r="N297" s="403"/>
      <c r="O297" s="8"/>
      <c r="P297" s="403"/>
      <c r="Q297" s="403"/>
      <c r="R297" s="403"/>
      <c r="S297" s="8"/>
      <c r="T297" s="8"/>
    </row>
    <row r="298" spans="2:20" ht="12.75"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403"/>
      <c r="M298" s="8"/>
      <c r="N298" s="403"/>
      <c r="O298" s="8"/>
      <c r="P298" s="403"/>
      <c r="Q298" s="403"/>
      <c r="R298" s="403"/>
      <c r="S298" s="8"/>
      <c r="T298" s="8"/>
    </row>
    <row r="299" spans="2:20" ht="12.75"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403"/>
      <c r="M299" s="8"/>
      <c r="N299" s="403"/>
      <c r="O299" s="8"/>
      <c r="P299" s="403"/>
      <c r="Q299" s="403"/>
      <c r="R299" s="403"/>
      <c r="S299" s="8"/>
      <c r="T299" s="8"/>
    </row>
    <row r="300" spans="2:20" ht="12.75"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403"/>
      <c r="M300" s="8"/>
      <c r="N300" s="403"/>
      <c r="O300" s="8"/>
      <c r="P300" s="403"/>
      <c r="Q300" s="403"/>
      <c r="R300" s="403"/>
      <c r="S300" s="8"/>
      <c r="T300" s="8"/>
    </row>
    <row r="301" spans="2:20" ht="12.75"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403"/>
      <c r="M301" s="8"/>
      <c r="N301" s="403"/>
      <c r="O301" s="8"/>
      <c r="P301" s="403"/>
      <c r="Q301" s="403"/>
      <c r="R301" s="403"/>
      <c r="S301" s="8"/>
      <c r="T301" s="8"/>
    </row>
    <row r="302" spans="2:20" ht="12.75"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403"/>
      <c r="M302" s="8"/>
      <c r="N302" s="403"/>
      <c r="O302" s="8"/>
      <c r="P302" s="403"/>
      <c r="Q302" s="403"/>
      <c r="R302" s="403"/>
      <c r="S302" s="8"/>
      <c r="T302" s="8"/>
    </row>
    <row r="303" spans="2:20" ht="12.75"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403"/>
      <c r="M303" s="8"/>
      <c r="N303" s="403"/>
      <c r="O303" s="8"/>
      <c r="P303" s="403"/>
      <c r="Q303" s="403"/>
      <c r="R303" s="403"/>
      <c r="S303" s="8"/>
      <c r="T303" s="8"/>
    </row>
    <row r="304" spans="2:20" ht="12.75"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403"/>
      <c r="M304" s="8"/>
      <c r="N304" s="403"/>
      <c r="O304" s="8"/>
      <c r="P304" s="403"/>
      <c r="Q304" s="403"/>
      <c r="R304" s="403"/>
      <c r="S304" s="8"/>
      <c r="T304" s="8"/>
    </row>
    <row r="305" spans="2:20" ht="12.75"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403"/>
      <c r="M305" s="8"/>
      <c r="N305" s="403"/>
      <c r="O305" s="8"/>
      <c r="P305" s="403"/>
      <c r="Q305" s="403"/>
      <c r="R305" s="403"/>
      <c r="S305" s="8"/>
      <c r="T305" s="8"/>
    </row>
    <row r="306" spans="2:20" ht="12.75"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403"/>
      <c r="M306" s="8"/>
      <c r="N306" s="403"/>
      <c r="O306" s="8"/>
      <c r="P306" s="403"/>
      <c r="Q306" s="403"/>
      <c r="R306" s="403"/>
      <c r="S306" s="8"/>
      <c r="T306" s="8"/>
    </row>
    <row r="307" spans="2:20" ht="12.75"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403"/>
      <c r="M307" s="8"/>
      <c r="N307" s="403"/>
      <c r="O307" s="8"/>
      <c r="P307" s="403"/>
      <c r="Q307" s="403"/>
      <c r="R307" s="403"/>
      <c r="S307" s="8"/>
      <c r="T307" s="8"/>
    </row>
    <row r="308" spans="2:20" ht="12.75"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403"/>
      <c r="M308" s="8"/>
      <c r="N308" s="403"/>
      <c r="O308" s="8"/>
      <c r="P308" s="403"/>
      <c r="Q308" s="403"/>
      <c r="R308" s="403"/>
      <c r="S308" s="8"/>
      <c r="T308" s="8"/>
    </row>
    <row r="309" spans="2:20" ht="12.75"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403"/>
      <c r="M309" s="8"/>
      <c r="N309" s="403"/>
      <c r="O309" s="8"/>
      <c r="P309" s="403"/>
      <c r="Q309" s="403"/>
      <c r="R309" s="403"/>
      <c r="S309" s="8"/>
      <c r="T309" s="8"/>
    </row>
    <row r="310" spans="2:20" ht="12.75"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403"/>
      <c r="M310" s="8"/>
      <c r="N310" s="403"/>
      <c r="O310" s="8"/>
      <c r="P310" s="403"/>
      <c r="Q310" s="403"/>
      <c r="R310" s="403"/>
      <c r="S310" s="8"/>
      <c r="T310" s="8"/>
    </row>
    <row r="311" spans="2:20" ht="12.75"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403"/>
      <c r="M311" s="8"/>
      <c r="N311" s="403"/>
      <c r="O311" s="8"/>
      <c r="P311" s="403"/>
      <c r="Q311" s="403"/>
      <c r="R311" s="403"/>
      <c r="S311" s="8"/>
      <c r="T311" s="8"/>
    </row>
    <row r="312" spans="2:20" ht="12.75"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403"/>
      <c r="M312" s="8"/>
      <c r="N312" s="403"/>
      <c r="O312" s="8"/>
      <c r="P312" s="403"/>
      <c r="Q312" s="403"/>
      <c r="R312" s="403"/>
      <c r="S312" s="8"/>
      <c r="T312" s="8"/>
    </row>
    <row r="313" spans="2:20" ht="12.75"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403"/>
      <c r="M313" s="8"/>
      <c r="N313" s="403"/>
      <c r="O313" s="8"/>
      <c r="P313" s="403"/>
      <c r="Q313" s="403"/>
      <c r="R313" s="403"/>
      <c r="S313" s="8"/>
      <c r="T313" s="8"/>
    </row>
    <row r="314" spans="2:20" ht="12.75"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403"/>
      <c r="M314" s="8"/>
      <c r="N314" s="403"/>
      <c r="O314" s="8"/>
      <c r="P314" s="403"/>
      <c r="Q314" s="403"/>
      <c r="R314" s="403"/>
      <c r="S314" s="8"/>
      <c r="T314" s="8"/>
    </row>
    <row r="315" spans="2:20" ht="12.75"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403"/>
      <c r="M315" s="8"/>
      <c r="N315" s="403"/>
      <c r="O315" s="8"/>
      <c r="P315" s="403"/>
      <c r="Q315" s="403"/>
      <c r="R315" s="403"/>
      <c r="S315" s="8"/>
      <c r="T315" s="8"/>
    </row>
    <row r="316" spans="2:20" ht="12.75"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403"/>
      <c r="M316" s="8"/>
      <c r="N316" s="403"/>
      <c r="O316" s="8"/>
      <c r="P316" s="403"/>
      <c r="Q316" s="403"/>
      <c r="R316" s="403"/>
      <c r="S316" s="8"/>
      <c r="T316" s="8"/>
    </row>
    <row r="317" spans="2:20" ht="12.75"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403"/>
      <c r="M317" s="8"/>
      <c r="N317" s="403"/>
      <c r="O317" s="8"/>
      <c r="P317" s="403"/>
      <c r="Q317" s="403"/>
      <c r="R317" s="403"/>
      <c r="S317" s="8"/>
      <c r="T317" s="8"/>
    </row>
    <row r="318" spans="2:20" ht="12.75"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403"/>
      <c r="M318" s="8"/>
      <c r="N318" s="403"/>
      <c r="O318" s="8"/>
      <c r="P318" s="403"/>
      <c r="Q318" s="403"/>
      <c r="R318" s="403"/>
      <c r="S318" s="8"/>
      <c r="T318" s="8"/>
    </row>
    <row r="319" spans="2:20" ht="12.75"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403"/>
      <c r="M319" s="8"/>
      <c r="N319" s="403"/>
      <c r="O319" s="8"/>
      <c r="P319" s="403"/>
      <c r="Q319" s="403"/>
      <c r="R319" s="403"/>
      <c r="S319" s="8"/>
      <c r="T319" s="8"/>
    </row>
    <row r="320" spans="2:20" ht="12.75"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403"/>
      <c r="M320" s="8"/>
      <c r="N320" s="403"/>
      <c r="O320" s="8"/>
      <c r="P320" s="403"/>
      <c r="Q320" s="403"/>
      <c r="R320" s="403"/>
      <c r="S320" s="8"/>
      <c r="T320" s="8"/>
    </row>
    <row r="321" spans="2:20" ht="12.75"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403"/>
      <c r="M321" s="8"/>
      <c r="N321" s="403"/>
      <c r="O321" s="8"/>
      <c r="P321" s="403"/>
      <c r="Q321" s="403"/>
      <c r="R321" s="403"/>
      <c r="S321" s="8"/>
      <c r="T321" s="8"/>
    </row>
    <row r="322" spans="2:20" ht="12.75"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403"/>
      <c r="M322" s="8"/>
      <c r="N322" s="403"/>
      <c r="O322" s="8"/>
      <c r="P322" s="403"/>
      <c r="Q322" s="403"/>
      <c r="R322" s="403"/>
      <c r="S322" s="8"/>
      <c r="T322" s="8"/>
    </row>
    <row r="323" spans="2:20" ht="12.75"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403"/>
      <c r="M323" s="8"/>
      <c r="N323" s="403"/>
      <c r="O323" s="8"/>
      <c r="P323" s="403"/>
      <c r="Q323" s="403"/>
      <c r="R323" s="403"/>
      <c r="S323" s="8"/>
      <c r="T323" s="8"/>
    </row>
    <row r="324" spans="2:20" ht="12.75"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403"/>
      <c r="M324" s="8"/>
      <c r="N324" s="403"/>
      <c r="O324" s="8"/>
      <c r="P324" s="403"/>
      <c r="Q324" s="403"/>
      <c r="R324" s="403"/>
      <c r="S324" s="8"/>
      <c r="T324" s="8"/>
    </row>
    <row r="325" spans="2:20" ht="12.75"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403"/>
      <c r="M325" s="8"/>
      <c r="N325" s="403"/>
      <c r="O325" s="8"/>
      <c r="P325" s="403"/>
      <c r="Q325" s="403"/>
      <c r="R325" s="403"/>
      <c r="S325" s="8"/>
      <c r="T325" s="8"/>
    </row>
    <row r="326" spans="2:20" ht="12.75"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403"/>
      <c r="M326" s="8"/>
      <c r="N326" s="403"/>
      <c r="O326" s="8"/>
      <c r="P326" s="403"/>
      <c r="Q326" s="403"/>
      <c r="R326" s="403"/>
      <c r="S326" s="8"/>
      <c r="T326" s="8"/>
    </row>
    <row r="327" spans="2:20" ht="12.75"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403"/>
      <c r="M327" s="8"/>
      <c r="N327" s="403"/>
      <c r="O327" s="8"/>
      <c r="P327" s="403"/>
      <c r="Q327" s="403"/>
      <c r="R327" s="403"/>
      <c r="S327" s="8"/>
      <c r="T327" s="8"/>
    </row>
    <row r="328" spans="2:20" ht="12.75"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403"/>
      <c r="M328" s="8"/>
      <c r="N328" s="403"/>
      <c r="O328" s="8"/>
      <c r="P328" s="403"/>
      <c r="Q328" s="403"/>
      <c r="R328" s="403"/>
      <c r="S328" s="8"/>
      <c r="T328" s="8"/>
    </row>
    <row r="329" spans="2:20" ht="12.75"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403"/>
      <c r="M329" s="8"/>
      <c r="N329" s="403"/>
      <c r="O329" s="8"/>
      <c r="P329" s="403"/>
      <c r="Q329" s="403"/>
      <c r="R329" s="403"/>
      <c r="S329" s="8"/>
      <c r="T329" s="8"/>
    </row>
    <row r="330" spans="2:20" ht="12.75"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403"/>
      <c r="M330" s="8"/>
      <c r="N330" s="403"/>
      <c r="O330" s="8"/>
      <c r="P330" s="403"/>
      <c r="Q330" s="403"/>
      <c r="R330" s="403"/>
      <c r="S330" s="8"/>
      <c r="T330" s="8"/>
    </row>
    <row r="331" spans="2:20" ht="12.75"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403"/>
      <c r="M331" s="8"/>
      <c r="N331" s="403"/>
      <c r="O331" s="8"/>
      <c r="P331" s="403"/>
      <c r="Q331" s="403"/>
      <c r="R331" s="403"/>
      <c r="S331" s="8"/>
      <c r="T331" s="8"/>
    </row>
    <row r="332" spans="2:20" ht="12.75"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403"/>
      <c r="M332" s="8"/>
      <c r="N332" s="403"/>
      <c r="O332" s="8"/>
      <c r="P332" s="403"/>
      <c r="Q332" s="403"/>
      <c r="R332" s="403"/>
      <c r="S332" s="8"/>
      <c r="T332" s="8"/>
    </row>
    <row r="333" spans="2:20" ht="12.75"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403"/>
      <c r="M333" s="8"/>
      <c r="N333" s="403"/>
      <c r="O333" s="8"/>
      <c r="P333" s="403"/>
      <c r="Q333" s="403"/>
      <c r="R333" s="403"/>
      <c r="S333" s="8"/>
      <c r="T333" s="8"/>
    </row>
    <row r="334" spans="2:20" ht="12.75"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403"/>
      <c r="M334" s="8"/>
      <c r="N334" s="403"/>
      <c r="O334" s="8"/>
      <c r="P334" s="403"/>
      <c r="Q334" s="403"/>
      <c r="R334" s="403"/>
      <c r="S334" s="8"/>
      <c r="T334" s="8"/>
    </row>
    <row r="335" spans="2:20" ht="12.75"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403"/>
      <c r="M335" s="8"/>
      <c r="N335" s="403"/>
      <c r="O335" s="8"/>
      <c r="P335" s="403"/>
      <c r="Q335" s="403"/>
      <c r="R335" s="403"/>
      <c r="S335" s="8"/>
      <c r="T335" s="8"/>
    </row>
    <row r="336" spans="2:20" ht="12.75"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403"/>
      <c r="M336" s="8"/>
      <c r="N336" s="403"/>
      <c r="O336" s="8"/>
      <c r="P336" s="403"/>
      <c r="Q336" s="403"/>
      <c r="R336" s="403"/>
      <c r="S336" s="8"/>
      <c r="T336" s="8"/>
    </row>
    <row r="337" spans="2:20" ht="12.75"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403"/>
      <c r="M337" s="8"/>
      <c r="N337" s="403"/>
      <c r="O337" s="8"/>
      <c r="P337" s="403"/>
      <c r="Q337" s="403"/>
      <c r="R337" s="403"/>
      <c r="S337" s="8"/>
      <c r="T337" s="8"/>
    </row>
    <row r="338" spans="2:20" ht="12.75"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403"/>
      <c r="M338" s="8"/>
      <c r="N338" s="403"/>
      <c r="O338" s="8"/>
      <c r="P338" s="403"/>
      <c r="Q338" s="403"/>
      <c r="R338" s="403"/>
      <c r="S338" s="8"/>
      <c r="T338" s="8"/>
    </row>
    <row r="339" spans="2:20" ht="12.75"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403"/>
      <c r="M339" s="8"/>
      <c r="N339" s="403"/>
      <c r="O339" s="8"/>
      <c r="P339" s="403"/>
      <c r="Q339" s="403"/>
      <c r="R339" s="403"/>
      <c r="S339" s="8"/>
      <c r="T339" s="8"/>
    </row>
    <row r="340" spans="2:20" ht="12.75"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403"/>
      <c r="M340" s="8"/>
      <c r="N340" s="403"/>
      <c r="O340" s="8"/>
      <c r="P340" s="403"/>
      <c r="Q340" s="403"/>
      <c r="R340" s="403"/>
      <c r="S340" s="8"/>
      <c r="T340" s="8"/>
    </row>
    <row r="341" spans="2:20" ht="12.75"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403"/>
      <c r="M341" s="8"/>
      <c r="N341" s="403"/>
      <c r="O341" s="8"/>
      <c r="P341" s="403"/>
      <c r="Q341" s="403"/>
      <c r="R341" s="403"/>
      <c r="S341" s="8"/>
      <c r="T341" s="8"/>
    </row>
    <row r="342" spans="2:20" ht="12.75"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403"/>
      <c r="M342" s="8"/>
      <c r="N342" s="403"/>
      <c r="O342" s="8"/>
      <c r="P342" s="403"/>
      <c r="Q342" s="403"/>
      <c r="R342" s="403"/>
      <c r="S342" s="8"/>
      <c r="T342" s="8"/>
    </row>
    <row r="343" spans="2:20" ht="12.75"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403"/>
      <c r="M343" s="8"/>
      <c r="N343" s="403"/>
      <c r="O343" s="8"/>
      <c r="P343" s="403"/>
      <c r="Q343" s="403"/>
      <c r="R343" s="403"/>
      <c r="S343" s="8"/>
      <c r="T343" s="8"/>
    </row>
    <row r="344" spans="2:20" ht="12.75"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403"/>
      <c r="M344" s="8"/>
      <c r="N344" s="403"/>
      <c r="O344" s="8"/>
      <c r="P344" s="403"/>
      <c r="Q344" s="403"/>
      <c r="R344" s="403"/>
      <c r="S344" s="8"/>
      <c r="T344" s="8"/>
    </row>
    <row r="345" spans="2:20" ht="12.75"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403"/>
      <c r="M345" s="8"/>
      <c r="N345" s="403"/>
      <c r="O345" s="8"/>
      <c r="P345" s="403"/>
      <c r="Q345" s="403"/>
      <c r="R345" s="403"/>
      <c r="S345" s="8"/>
      <c r="T345" s="8"/>
    </row>
    <row r="346" spans="2:20" ht="12.75"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403"/>
      <c r="M346" s="8"/>
      <c r="N346" s="403"/>
      <c r="O346" s="8"/>
      <c r="P346" s="403"/>
      <c r="Q346" s="403"/>
      <c r="R346" s="403"/>
      <c r="S346" s="8"/>
      <c r="T346" s="8"/>
    </row>
    <row r="347" spans="2:20" ht="12.75"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403"/>
      <c r="M347" s="8"/>
      <c r="N347" s="403"/>
      <c r="O347" s="8"/>
      <c r="P347" s="403"/>
      <c r="Q347" s="403"/>
      <c r="R347" s="403"/>
      <c r="S347" s="8"/>
      <c r="T347" s="8"/>
    </row>
    <row r="348" spans="2:20" ht="12.75"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403"/>
      <c r="M348" s="8"/>
      <c r="N348" s="403"/>
      <c r="O348" s="8"/>
      <c r="P348" s="403"/>
      <c r="Q348" s="403"/>
      <c r="R348" s="403"/>
      <c r="S348" s="8"/>
      <c r="T348" s="8"/>
    </row>
    <row r="349" spans="2:20" ht="12.75"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403"/>
      <c r="M349" s="8"/>
      <c r="N349" s="403"/>
      <c r="O349" s="8"/>
      <c r="P349" s="403"/>
      <c r="Q349" s="403"/>
      <c r="R349" s="403"/>
      <c r="S349" s="8"/>
      <c r="T349" s="8"/>
    </row>
    <row r="350" spans="2:20" ht="12.75"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403"/>
      <c r="M350" s="8"/>
      <c r="N350" s="403"/>
      <c r="O350" s="8"/>
      <c r="P350" s="403"/>
      <c r="Q350" s="403"/>
      <c r="R350" s="403"/>
      <c r="S350" s="8"/>
      <c r="T350" s="8"/>
    </row>
    <row r="351" spans="2:20" ht="12.75"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403"/>
      <c r="M351" s="8"/>
      <c r="N351" s="403"/>
      <c r="O351" s="8"/>
      <c r="P351" s="403"/>
      <c r="Q351" s="403"/>
      <c r="R351" s="403"/>
      <c r="S351" s="8"/>
      <c r="T351" s="8"/>
    </row>
    <row r="352" spans="2:20" ht="12.75"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403"/>
      <c r="M352" s="8"/>
      <c r="N352" s="403"/>
      <c r="O352" s="8"/>
      <c r="P352" s="403"/>
      <c r="Q352" s="403"/>
      <c r="R352" s="403"/>
      <c r="S352" s="8"/>
      <c r="T352" s="8"/>
    </row>
    <row r="353" spans="2:20" ht="12.75"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403"/>
      <c r="M353" s="8"/>
      <c r="N353" s="403"/>
      <c r="O353" s="8"/>
      <c r="P353" s="403"/>
      <c r="Q353" s="403"/>
      <c r="R353" s="403"/>
      <c r="S353" s="8"/>
      <c r="T353" s="8"/>
    </row>
    <row r="354" spans="2:20" ht="12.75"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403"/>
      <c r="M354" s="8"/>
      <c r="N354" s="403"/>
      <c r="O354" s="8"/>
      <c r="P354" s="403"/>
      <c r="Q354" s="403"/>
      <c r="R354" s="403"/>
      <c r="S354" s="8"/>
      <c r="T354" s="8"/>
    </row>
    <row r="355" spans="2:20" ht="12.75"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403"/>
      <c r="M355" s="8"/>
      <c r="N355" s="403"/>
      <c r="O355" s="8"/>
      <c r="P355" s="403"/>
      <c r="Q355" s="403"/>
      <c r="R355" s="403"/>
      <c r="S355" s="8"/>
      <c r="T355" s="8"/>
    </row>
    <row r="356" spans="2:20" ht="12.75"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403"/>
      <c r="M356" s="8"/>
      <c r="N356" s="403"/>
      <c r="O356" s="8"/>
      <c r="P356" s="403"/>
      <c r="Q356" s="403"/>
      <c r="R356" s="403"/>
      <c r="S356" s="8"/>
      <c r="T356" s="8"/>
    </row>
    <row r="357" spans="2:20" ht="12.75"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403"/>
      <c r="M357" s="8"/>
      <c r="N357" s="403"/>
      <c r="O357" s="8"/>
      <c r="P357" s="403"/>
      <c r="Q357" s="403"/>
      <c r="R357" s="403"/>
      <c r="S357" s="8"/>
      <c r="T357" s="8"/>
    </row>
    <row r="358" spans="2:20" ht="12.75"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403"/>
      <c r="M358" s="8"/>
      <c r="N358" s="403"/>
      <c r="O358" s="8"/>
      <c r="P358" s="403"/>
      <c r="Q358" s="403"/>
      <c r="R358" s="403"/>
      <c r="S358" s="8"/>
      <c r="T358" s="8"/>
    </row>
    <row r="359" spans="2:20" ht="12.75"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403"/>
      <c r="M359" s="8"/>
      <c r="N359" s="403"/>
      <c r="O359" s="8"/>
      <c r="P359" s="403"/>
      <c r="Q359" s="403"/>
      <c r="R359" s="403"/>
      <c r="S359" s="8"/>
      <c r="T359" s="8"/>
    </row>
    <row r="360" spans="2:20" ht="12.75"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403"/>
      <c r="M360" s="8"/>
      <c r="N360" s="403"/>
      <c r="O360" s="8"/>
      <c r="P360" s="403"/>
      <c r="Q360" s="403"/>
      <c r="R360" s="403"/>
      <c r="S360" s="8"/>
      <c r="T360" s="8"/>
    </row>
    <row r="361" spans="2:20" ht="12.75"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403"/>
      <c r="M361" s="8"/>
      <c r="N361" s="403"/>
      <c r="O361" s="8"/>
      <c r="P361" s="403"/>
      <c r="Q361" s="403"/>
      <c r="R361" s="403"/>
      <c r="S361" s="8"/>
      <c r="T361" s="8"/>
    </row>
    <row r="362" spans="2:20" ht="12.75"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403"/>
      <c r="M362" s="8"/>
      <c r="N362" s="403"/>
      <c r="O362" s="8"/>
      <c r="P362" s="403"/>
      <c r="Q362" s="403"/>
      <c r="R362" s="403"/>
      <c r="S362" s="8"/>
      <c r="T362" s="8"/>
    </row>
    <row r="363" spans="2:20" ht="12.75"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403"/>
      <c r="M363" s="8"/>
      <c r="N363" s="403"/>
      <c r="O363" s="8"/>
      <c r="P363" s="403"/>
      <c r="Q363" s="403"/>
      <c r="R363" s="403"/>
      <c r="S363" s="8"/>
      <c r="T363" s="8"/>
    </row>
    <row r="364" spans="2:20" ht="12.75"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403"/>
      <c r="M364" s="8"/>
      <c r="N364" s="403"/>
      <c r="O364" s="8"/>
      <c r="P364" s="403"/>
      <c r="Q364" s="403"/>
      <c r="R364" s="403"/>
      <c r="S364" s="8"/>
      <c r="T364" s="8"/>
    </row>
    <row r="365" spans="2:20" ht="12.75"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403"/>
      <c r="M365" s="8"/>
      <c r="N365" s="403"/>
      <c r="O365" s="8"/>
      <c r="P365" s="403"/>
      <c r="Q365" s="403"/>
      <c r="R365" s="403"/>
      <c r="S365" s="8"/>
      <c r="T365" s="8"/>
    </row>
    <row r="366" spans="2:20" ht="12.75"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403"/>
      <c r="M366" s="8"/>
      <c r="N366" s="403"/>
      <c r="O366" s="8"/>
      <c r="P366" s="403"/>
      <c r="Q366" s="403"/>
      <c r="R366" s="403"/>
      <c r="S366" s="8"/>
      <c r="T366" s="8"/>
    </row>
    <row r="367" spans="2:20" ht="12.75"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403"/>
      <c r="M367" s="8"/>
      <c r="N367" s="403"/>
      <c r="O367" s="8"/>
      <c r="P367" s="403"/>
      <c r="Q367" s="403"/>
      <c r="R367" s="403"/>
      <c r="S367" s="8"/>
      <c r="T367" s="8"/>
    </row>
    <row r="368" spans="2:20" ht="12.75"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403"/>
      <c r="M368" s="8"/>
      <c r="N368" s="403"/>
      <c r="O368" s="8"/>
      <c r="P368" s="403"/>
      <c r="Q368" s="403"/>
      <c r="R368" s="403"/>
      <c r="S368" s="8"/>
      <c r="T368" s="8"/>
    </row>
    <row r="369" spans="2:20" ht="12.75"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403"/>
      <c r="M369" s="8"/>
      <c r="N369" s="403"/>
      <c r="O369" s="8"/>
      <c r="P369" s="403"/>
      <c r="Q369" s="403"/>
      <c r="R369" s="403"/>
      <c r="S369" s="8"/>
      <c r="T369" s="8"/>
    </row>
    <row r="370" spans="2:20" ht="12.75"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403"/>
      <c r="M370" s="8"/>
      <c r="N370" s="403"/>
      <c r="O370" s="8"/>
      <c r="P370" s="403"/>
      <c r="Q370" s="403"/>
      <c r="R370" s="403"/>
      <c r="S370" s="8"/>
      <c r="T370" s="8"/>
    </row>
    <row r="371" spans="2:20" ht="12.75"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403"/>
      <c r="M371" s="8"/>
      <c r="N371" s="403"/>
      <c r="O371" s="8"/>
      <c r="P371" s="403"/>
      <c r="Q371" s="403"/>
      <c r="R371" s="403"/>
      <c r="S371" s="8"/>
      <c r="T371" s="8"/>
    </row>
    <row r="372" spans="2:20" ht="12.75"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403"/>
      <c r="M372" s="8"/>
      <c r="N372" s="403"/>
      <c r="O372" s="8"/>
      <c r="P372" s="403"/>
      <c r="Q372" s="403"/>
      <c r="R372" s="403"/>
      <c r="S372" s="8"/>
      <c r="T372" s="8"/>
    </row>
    <row r="373" spans="2:20" ht="12.75"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403"/>
      <c r="M373" s="8"/>
      <c r="N373" s="403"/>
      <c r="O373" s="8"/>
      <c r="P373" s="403"/>
      <c r="Q373" s="403"/>
      <c r="R373" s="403"/>
      <c r="S373" s="8"/>
      <c r="T373" s="8"/>
    </row>
    <row r="374" spans="2:20" ht="12.75"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403"/>
      <c r="M374" s="8"/>
      <c r="N374" s="403"/>
      <c r="O374" s="8"/>
      <c r="P374" s="403"/>
      <c r="Q374" s="403"/>
      <c r="R374" s="403"/>
      <c r="S374" s="8"/>
      <c r="T374" s="8"/>
    </row>
    <row r="375" spans="2:20" ht="12.75"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403"/>
      <c r="M375" s="8"/>
      <c r="N375" s="403"/>
      <c r="O375" s="8"/>
      <c r="P375" s="403"/>
      <c r="Q375" s="403"/>
      <c r="R375" s="403"/>
      <c r="S375" s="8"/>
      <c r="T375" s="8"/>
    </row>
    <row r="376" spans="2:20" ht="12.75"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403"/>
      <c r="M376" s="8"/>
      <c r="N376" s="403"/>
      <c r="O376" s="8"/>
      <c r="P376" s="403"/>
      <c r="Q376" s="403"/>
      <c r="R376" s="403"/>
      <c r="S376" s="8"/>
      <c r="T376" s="8"/>
    </row>
    <row r="377" spans="2:20" ht="12.75"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403"/>
      <c r="M377" s="8"/>
      <c r="N377" s="403"/>
      <c r="O377" s="8"/>
      <c r="P377" s="403"/>
      <c r="Q377" s="403"/>
      <c r="R377" s="403"/>
      <c r="S377" s="8"/>
      <c r="T377" s="8"/>
    </row>
    <row r="378" spans="2:20" ht="12.75"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403"/>
      <c r="M378" s="8"/>
      <c r="N378" s="403"/>
      <c r="O378" s="8"/>
      <c r="P378" s="403"/>
      <c r="Q378" s="403"/>
      <c r="R378" s="403"/>
      <c r="S378" s="8"/>
      <c r="T378" s="8"/>
    </row>
    <row r="379" spans="2:20" ht="12.75"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403"/>
      <c r="M379" s="8"/>
      <c r="N379" s="403"/>
      <c r="O379" s="8"/>
      <c r="P379" s="403"/>
      <c r="Q379" s="403"/>
      <c r="R379" s="403"/>
      <c r="S379" s="8"/>
      <c r="T379" s="8"/>
    </row>
    <row r="380" spans="2:20" ht="12.75"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403"/>
      <c r="M380" s="8"/>
      <c r="N380" s="403"/>
      <c r="O380" s="8"/>
      <c r="P380" s="403"/>
      <c r="Q380" s="403"/>
      <c r="R380" s="403"/>
      <c r="S380" s="8"/>
      <c r="T380" s="8"/>
    </row>
    <row r="381" spans="2:20" ht="12.75"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403"/>
      <c r="M381" s="8"/>
      <c r="N381" s="403"/>
      <c r="O381" s="8"/>
      <c r="P381" s="403"/>
      <c r="Q381" s="403"/>
      <c r="R381" s="403"/>
      <c r="S381" s="8"/>
      <c r="T381" s="8"/>
    </row>
    <row r="382" spans="2:20" ht="12.75"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403"/>
      <c r="M382" s="8"/>
      <c r="N382" s="403"/>
      <c r="O382" s="8"/>
      <c r="P382" s="403"/>
      <c r="Q382" s="403"/>
      <c r="R382" s="403"/>
      <c r="S382" s="8"/>
      <c r="T382" s="8"/>
    </row>
    <row r="383" spans="2:20" ht="12.75"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403"/>
      <c r="M383" s="8"/>
      <c r="N383" s="403"/>
      <c r="O383" s="8"/>
      <c r="P383" s="403"/>
      <c r="Q383" s="403"/>
      <c r="R383" s="403"/>
      <c r="S383" s="8"/>
      <c r="T383" s="8"/>
    </row>
    <row r="384" spans="2:20" ht="12.75"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403"/>
      <c r="M384" s="8"/>
      <c r="N384" s="403"/>
      <c r="O384" s="8"/>
      <c r="P384" s="403"/>
      <c r="Q384" s="403"/>
      <c r="R384" s="403"/>
      <c r="S384" s="8"/>
      <c r="T384" s="8"/>
    </row>
    <row r="385" spans="2:20" ht="12.75"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403"/>
      <c r="M385" s="8"/>
      <c r="N385" s="403"/>
      <c r="O385" s="8"/>
      <c r="P385" s="403"/>
      <c r="Q385" s="403"/>
      <c r="R385" s="403"/>
      <c r="S385" s="8"/>
      <c r="T385" s="8"/>
    </row>
    <row r="386" spans="2:20" ht="12.75"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403"/>
      <c r="M386" s="8"/>
      <c r="N386" s="403"/>
      <c r="O386" s="8"/>
      <c r="P386" s="403"/>
      <c r="Q386" s="403"/>
      <c r="R386" s="403"/>
      <c r="S386" s="8"/>
      <c r="T386" s="8"/>
    </row>
    <row r="387" spans="2:20" ht="12.75"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403"/>
      <c r="M387" s="8"/>
      <c r="N387" s="403"/>
      <c r="O387" s="8"/>
      <c r="P387" s="403"/>
      <c r="Q387" s="403"/>
      <c r="R387" s="403"/>
      <c r="S387" s="8"/>
      <c r="T387" s="8"/>
    </row>
    <row r="388" spans="2:20" ht="12.75"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403"/>
      <c r="M388" s="8"/>
      <c r="N388" s="403"/>
      <c r="O388" s="8"/>
      <c r="P388" s="403"/>
      <c r="Q388" s="403"/>
      <c r="R388" s="403"/>
      <c r="S388" s="8"/>
      <c r="T388" s="8"/>
    </row>
    <row r="389" spans="2:20" ht="12.75"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403"/>
      <c r="M389" s="8"/>
      <c r="N389" s="403"/>
      <c r="O389" s="8"/>
      <c r="P389" s="403"/>
      <c r="Q389" s="403"/>
      <c r="R389" s="403"/>
      <c r="S389" s="8"/>
      <c r="T389" s="8"/>
    </row>
    <row r="390" spans="2:20" ht="12.75"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403"/>
      <c r="M390" s="8"/>
      <c r="N390" s="403"/>
      <c r="O390" s="8"/>
      <c r="P390" s="403"/>
      <c r="Q390" s="403"/>
      <c r="R390" s="403"/>
      <c r="S390" s="8"/>
      <c r="T390" s="8"/>
    </row>
    <row r="391" spans="2:20" ht="12.75"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403"/>
      <c r="M391" s="8"/>
      <c r="N391" s="403"/>
      <c r="O391" s="8"/>
      <c r="P391" s="403"/>
      <c r="Q391" s="403"/>
      <c r="R391" s="403"/>
      <c r="S391" s="8"/>
      <c r="T391" s="8"/>
    </row>
    <row r="392" spans="2:20" ht="12.75"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403"/>
      <c r="M392" s="8"/>
      <c r="N392" s="403"/>
      <c r="O392" s="8"/>
      <c r="P392" s="403"/>
      <c r="Q392" s="403"/>
      <c r="R392" s="403"/>
      <c r="S392" s="8"/>
      <c r="T392" s="8"/>
    </row>
    <row r="393" spans="2:20" ht="12.75"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403"/>
      <c r="M393" s="8"/>
      <c r="N393" s="403"/>
      <c r="O393" s="8"/>
      <c r="P393" s="403"/>
      <c r="Q393" s="403"/>
      <c r="R393" s="403"/>
      <c r="S393" s="8"/>
      <c r="T393" s="8"/>
    </row>
    <row r="394" spans="2:20" ht="12.75"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403"/>
      <c r="M394" s="8"/>
      <c r="N394" s="403"/>
      <c r="O394" s="8"/>
      <c r="P394" s="403"/>
      <c r="Q394" s="403"/>
      <c r="R394" s="403"/>
      <c r="S394" s="8"/>
      <c r="T394" s="8"/>
    </row>
    <row r="395" spans="2:20" ht="12.75"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403"/>
      <c r="M395" s="8"/>
      <c r="N395" s="403"/>
      <c r="O395" s="8"/>
      <c r="P395" s="403"/>
      <c r="Q395" s="403"/>
      <c r="R395" s="403"/>
      <c r="S395" s="8"/>
      <c r="T395" s="8"/>
    </row>
    <row r="396" spans="2:20" ht="12.75"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403"/>
      <c r="M396" s="8"/>
      <c r="N396" s="403"/>
      <c r="O396" s="8"/>
      <c r="P396" s="403"/>
      <c r="Q396" s="403"/>
      <c r="R396" s="403"/>
      <c r="S396" s="8"/>
      <c r="T396" s="8"/>
    </row>
    <row r="397" spans="2:20" ht="12.75"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403"/>
      <c r="M397" s="8"/>
      <c r="N397" s="403"/>
      <c r="O397" s="8"/>
      <c r="P397" s="403"/>
      <c r="Q397" s="403"/>
      <c r="R397" s="403"/>
      <c r="S397" s="8"/>
      <c r="T397" s="8"/>
    </row>
    <row r="398" spans="2:20" ht="12.75"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403"/>
      <c r="M398" s="8"/>
      <c r="N398" s="403"/>
      <c r="O398" s="8"/>
      <c r="P398" s="403"/>
      <c r="Q398" s="403"/>
      <c r="R398" s="403"/>
      <c r="S398" s="8"/>
      <c r="T398" s="8"/>
    </row>
    <row r="399" spans="2:20" ht="12.75"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403"/>
      <c r="M399" s="8"/>
      <c r="N399" s="403"/>
      <c r="O399" s="8"/>
      <c r="P399" s="403"/>
      <c r="Q399" s="403"/>
      <c r="R399" s="403"/>
      <c r="S399" s="8"/>
      <c r="T399" s="8"/>
    </row>
    <row r="400" spans="2:20" ht="12.75"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403"/>
      <c r="M400" s="8"/>
      <c r="N400" s="403"/>
      <c r="O400" s="8"/>
      <c r="P400" s="403"/>
      <c r="Q400" s="403"/>
      <c r="R400" s="403"/>
      <c r="S400" s="8"/>
      <c r="T400" s="8"/>
    </row>
    <row r="401" spans="2:20" ht="12.75"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403"/>
      <c r="M401" s="8"/>
      <c r="N401" s="403"/>
      <c r="O401" s="8"/>
      <c r="P401" s="403"/>
      <c r="Q401" s="403"/>
      <c r="R401" s="403"/>
      <c r="S401" s="8"/>
      <c r="T401" s="8"/>
    </row>
    <row r="402" spans="2:20" ht="12.75"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403"/>
      <c r="M402" s="8"/>
      <c r="N402" s="403"/>
      <c r="O402" s="8"/>
      <c r="P402" s="403"/>
      <c r="Q402" s="403"/>
      <c r="R402" s="403"/>
      <c r="S402" s="8"/>
      <c r="T402" s="8"/>
    </row>
    <row r="403" spans="2:20" ht="12.75"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403"/>
      <c r="M403" s="8"/>
      <c r="N403" s="403"/>
      <c r="O403" s="8"/>
      <c r="P403" s="403"/>
      <c r="Q403" s="403"/>
      <c r="R403" s="403"/>
      <c r="S403" s="8"/>
      <c r="T403" s="8"/>
    </row>
    <row r="404" spans="2:20" ht="12.75"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403"/>
      <c r="M404" s="8"/>
      <c r="N404" s="403"/>
      <c r="O404" s="8"/>
      <c r="P404" s="403"/>
      <c r="Q404" s="403"/>
      <c r="R404" s="403"/>
      <c r="S404" s="8"/>
      <c r="T404" s="8"/>
    </row>
    <row r="405" spans="2:20" ht="12.75"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403"/>
      <c r="M405" s="8"/>
      <c r="N405" s="403"/>
      <c r="O405" s="8"/>
      <c r="P405" s="403"/>
      <c r="Q405" s="403"/>
      <c r="R405" s="403"/>
      <c r="S405" s="8"/>
      <c r="T405" s="8"/>
    </row>
    <row r="406" spans="2:20" ht="12.75"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403"/>
      <c r="M406" s="8"/>
      <c r="N406" s="403"/>
      <c r="O406" s="8"/>
      <c r="P406" s="403"/>
      <c r="Q406" s="403"/>
      <c r="R406" s="403"/>
      <c r="S406" s="8"/>
      <c r="T406" s="8"/>
    </row>
    <row r="407" spans="2:20" ht="12.75"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403"/>
      <c r="M407" s="8"/>
      <c r="N407" s="403"/>
      <c r="O407" s="8"/>
      <c r="P407" s="403"/>
      <c r="Q407" s="403"/>
      <c r="R407" s="403"/>
      <c r="S407" s="8"/>
      <c r="T407" s="8"/>
    </row>
    <row r="408" spans="2:20" ht="12.75"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403"/>
      <c r="M408" s="8"/>
      <c r="N408" s="403"/>
      <c r="O408" s="8"/>
      <c r="P408" s="403"/>
      <c r="Q408" s="403"/>
      <c r="R408" s="403"/>
      <c r="S408" s="8"/>
      <c r="T408" s="8"/>
    </row>
    <row r="409" spans="2:20" ht="12.75"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403"/>
      <c r="M409" s="8"/>
      <c r="N409" s="403"/>
      <c r="O409" s="8"/>
      <c r="P409" s="403"/>
      <c r="Q409" s="403"/>
      <c r="R409" s="403"/>
      <c r="S409" s="8"/>
      <c r="T409" s="8"/>
    </row>
    <row r="410" spans="2:20" ht="12.75"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403"/>
      <c r="M410" s="8"/>
      <c r="N410" s="403"/>
      <c r="O410" s="8"/>
      <c r="P410" s="403"/>
      <c r="Q410" s="403"/>
      <c r="R410" s="403"/>
      <c r="S410" s="8"/>
      <c r="T410" s="8"/>
    </row>
    <row r="411" spans="2:20" ht="12.75"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403"/>
      <c r="M411" s="8"/>
      <c r="N411" s="403"/>
      <c r="O411" s="8"/>
      <c r="P411" s="403"/>
      <c r="Q411" s="403"/>
      <c r="R411" s="403"/>
      <c r="S411" s="8"/>
      <c r="T411" s="8"/>
    </row>
    <row r="412" spans="2:20" ht="12.75"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403"/>
      <c r="M412" s="8"/>
      <c r="N412" s="403"/>
      <c r="O412" s="8"/>
      <c r="P412" s="403"/>
      <c r="Q412" s="403"/>
      <c r="R412" s="403"/>
      <c r="S412" s="8"/>
      <c r="T412" s="8"/>
    </row>
    <row r="413" spans="2:20" ht="12.75"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403"/>
      <c r="M413" s="8"/>
      <c r="N413" s="403"/>
      <c r="O413" s="8"/>
      <c r="P413" s="403"/>
      <c r="Q413" s="403"/>
      <c r="R413" s="403"/>
      <c r="S413" s="8"/>
      <c r="T413" s="8"/>
    </row>
    <row r="414" spans="2:20" ht="12.75"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403"/>
      <c r="M414" s="8"/>
      <c r="N414" s="403"/>
      <c r="O414" s="8"/>
      <c r="P414" s="403"/>
      <c r="Q414" s="403"/>
      <c r="R414" s="403"/>
      <c r="S414" s="8"/>
      <c r="T414" s="8"/>
    </row>
    <row r="415" spans="2:20" ht="12.75"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403"/>
      <c r="M415" s="8"/>
      <c r="N415" s="403"/>
      <c r="O415" s="8"/>
      <c r="P415" s="403"/>
      <c r="Q415" s="403"/>
      <c r="R415" s="403"/>
      <c r="S415" s="8"/>
      <c r="T415" s="8"/>
    </row>
    <row r="416" spans="2:20" ht="12.75"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403"/>
      <c r="M416" s="8"/>
      <c r="N416" s="403"/>
      <c r="O416" s="8"/>
      <c r="P416" s="403"/>
      <c r="Q416" s="403"/>
      <c r="R416" s="403"/>
      <c r="S416" s="8"/>
      <c r="T416" s="8"/>
    </row>
    <row r="417" spans="2:20" ht="12.75"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403"/>
      <c r="M417" s="8"/>
      <c r="N417" s="403"/>
      <c r="O417" s="8"/>
      <c r="P417" s="403"/>
      <c r="Q417" s="403"/>
      <c r="R417" s="403"/>
      <c r="S417" s="8"/>
      <c r="T417" s="8"/>
    </row>
    <row r="418" spans="2:20" ht="12.75"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403"/>
      <c r="M418" s="8"/>
      <c r="N418" s="403"/>
      <c r="O418" s="8"/>
      <c r="P418" s="403"/>
      <c r="Q418" s="403"/>
      <c r="R418" s="403"/>
      <c r="S418" s="8"/>
      <c r="T418" s="8"/>
    </row>
    <row r="419" spans="2:20" ht="12.75"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403"/>
      <c r="M419" s="8"/>
      <c r="N419" s="403"/>
      <c r="O419" s="8"/>
      <c r="P419" s="403"/>
      <c r="Q419" s="403"/>
      <c r="R419" s="403"/>
      <c r="S419" s="8"/>
      <c r="T419" s="8"/>
    </row>
    <row r="420" spans="2:20" ht="12.75"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403"/>
      <c r="M420" s="8"/>
      <c r="N420" s="403"/>
      <c r="O420" s="8"/>
      <c r="P420" s="403"/>
      <c r="Q420" s="403"/>
      <c r="R420" s="403"/>
      <c r="S420" s="8"/>
      <c r="T420" s="8"/>
    </row>
    <row r="421" spans="2:20" ht="12.75"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403"/>
      <c r="M421" s="8"/>
      <c r="N421" s="403"/>
      <c r="O421" s="8"/>
      <c r="P421" s="403"/>
      <c r="Q421" s="403"/>
      <c r="R421" s="403"/>
      <c r="S421" s="8"/>
      <c r="T421" s="8"/>
    </row>
    <row r="422" spans="2:20" ht="12.75"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403"/>
      <c r="M422" s="8"/>
      <c r="N422" s="403"/>
      <c r="O422" s="8"/>
      <c r="P422" s="403"/>
      <c r="Q422" s="403"/>
      <c r="R422" s="403"/>
      <c r="S422" s="8"/>
      <c r="T422" s="8"/>
    </row>
    <row r="423" spans="2:20" ht="12.75"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403"/>
      <c r="M423" s="8"/>
      <c r="N423" s="403"/>
      <c r="O423" s="8"/>
      <c r="P423" s="403"/>
      <c r="Q423" s="403"/>
      <c r="R423" s="403"/>
      <c r="S423" s="8"/>
      <c r="T423" s="8"/>
    </row>
    <row r="424" spans="2:20" ht="12.75"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403"/>
      <c r="M424" s="8"/>
      <c r="N424" s="403"/>
      <c r="O424" s="8"/>
      <c r="P424" s="403"/>
      <c r="Q424" s="403"/>
      <c r="R424" s="403"/>
      <c r="S424" s="8"/>
      <c r="T424" s="8"/>
    </row>
    <row r="425" spans="2:20" ht="12.75"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403"/>
      <c r="M425" s="8"/>
      <c r="N425" s="403"/>
      <c r="O425" s="8"/>
      <c r="P425" s="403"/>
      <c r="Q425" s="403"/>
      <c r="R425" s="403"/>
      <c r="S425" s="8"/>
      <c r="T425" s="8"/>
    </row>
    <row r="426" spans="2:20" ht="12.75"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403"/>
      <c r="M426" s="8"/>
      <c r="N426" s="403"/>
      <c r="O426" s="8"/>
      <c r="P426" s="403"/>
      <c r="Q426" s="403"/>
      <c r="R426" s="403"/>
      <c r="S426" s="8"/>
      <c r="T426" s="8"/>
    </row>
    <row r="427" spans="2:20" ht="12.75"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403"/>
      <c r="M427" s="8"/>
      <c r="N427" s="403"/>
      <c r="O427" s="8"/>
      <c r="P427" s="403"/>
      <c r="Q427" s="403"/>
      <c r="R427" s="403"/>
      <c r="S427" s="8"/>
      <c r="T427" s="8"/>
    </row>
    <row r="428" spans="2:20" ht="12.75"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403"/>
      <c r="M428" s="8"/>
      <c r="N428" s="403"/>
      <c r="O428" s="8"/>
      <c r="P428" s="403"/>
      <c r="Q428" s="403"/>
      <c r="R428" s="403"/>
      <c r="S428" s="8"/>
      <c r="T428" s="8"/>
    </row>
    <row r="429" spans="2:20" ht="12.75"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403"/>
      <c r="M429" s="8"/>
      <c r="N429" s="403"/>
      <c r="O429" s="8"/>
      <c r="P429" s="403"/>
      <c r="Q429" s="403"/>
      <c r="R429" s="403"/>
      <c r="S429" s="8"/>
      <c r="T429" s="8"/>
    </row>
    <row r="430" spans="2:20" ht="12.75"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403"/>
      <c r="M430" s="8"/>
      <c r="N430" s="403"/>
      <c r="O430" s="8"/>
      <c r="P430" s="403"/>
      <c r="Q430" s="403"/>
      <c r="R430" s="403"/>
      <c r="S430" s="8"/>
      <c r="T430" s="8"/>
    </row>
    <row r="431" spans="2:20" ht="12.75"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403"/>
      <c r="M431" s="8"/>
      <c r="N431" s="403"/>
      <c r="O431" s="8"/>
      <c r="P431" s="403"/>
      <c r="Q431" s="403"/>
      <c r="R431" s="403"/>
      <c r="S431" s="8"/>
      <c r="T431" s="8"/>
    </row>
    <row r="432" spans="2:20" ht="12.75"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403"/>
      <c r="M432" s="8"/>
      <c r="N432" s="403"/>
      <c r="O432" s="8"/>
      <c r="P432" s="403"/>
      <c r="Q432" s="403"/>
      <c r="R432" s="403"/>
      <c r="S432" s="8"/>
      <c r="T432" s="8"/>
    </row>
    <row r="433" spans="2:20" ht="12.75"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403"/>
      <c r="M433" s="8"/>
      <c r="N433" s="403"/>
      <c r="O433" s="8"/>
      <c r="P433" s="403"/>
      <c r="Q433" s="403"/>
      <c r="R433" s="403"/>
      <c r="S433" s="8"/>
      <c r="T433" s="8"/>
    </row>
    <row r="434" spans="2:20" ht="12.75"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403"/>
      <c r="M434" s="8"/>
      <c r="N434" s="403"/>
      <c r="O434" s="8"/>
      <c r="P434" s="403"/>
      <c r="Q434" s="403"/>
      <c r="R434" s="403"/>
      <c r="S434" s="8"/>
      <c r="T434" s="8"/>
    </row>
    <row r="435" spans="2:20" ht="12.75"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403"/>
      <c r="M435" s="8"/>
      <c r="N435" s="403"/>
      <c r="O435" s="8"/>
      <c r="P435" s="403"/>
      <c r="Q435" s="403"/>
      <c r="R435" s="403"/>
      <c r="S435" s="8"/>
      <c r="T435" s="8"/>
    </row>
    <row r="436" spans="2:20" ht="12.75"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403"/>
      <c r="M436" s="8"/>
      <c r="N436" s="403"/>
      <c r="O436" s="8"/>
      <c r="P436" s="403"/>
      <c r="Q436" s="403"/>
      <c r="R436" s="403"/>
      <c r="S436" s="8"/>
      <c r="T436" s="8"/>
    </row>
    <row r="437" spans="2:20" ht="12.75"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403"/>
      <c r="M437" s="8"/>
      <c r="N437" s="403"/>
      <c r="O437" s="8"/>
      <c r="P437" s="403"/>
      <c r="Q437" s="403"/>
      <c r="R437" s="403"/>
      <c r="S437" s="8"/>
      <c r="T437" s="8"/>
    </row>
    <row r="438" spans="2:20" ht="12.75"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403"/>
      <c r="M438" s="8"/>
      <c r="N438" s="403"/>
      <c r="O438" s="8"/>
      <c r="P438" s="403"/>
      <c r="Q438" s="403"/>
      <c r="R438" s="403"/>
      <c r="S438" s="8"/>
      <c r="T438" s="8"/>
    </row>
    <row r="439" spans="2:20" ht="12.75"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403"/>
      <c r="M439" s="8"/>
      <c r="N439" s="403"/>
      <c r="O439" s="8"/>
      <c r="P439" s="403"/>
      <c r="Q439" s="403"/>
      <c r="R439" s="403"/>
      <c r="S439" s="8"/>
      <c r="T439" s="8"/>
    </row>
    <row r="440" spans="2:20" ht="12.75"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403"/>
      <c r="M440" s="8"/>
      <c r="N440" s="403"/>
      <c r="O440" s="8"/>
      <c r="P440" s="403"/>
      <c r="Q440" s="403"/>
      <c r="R440" s="403"/>
      <c r="S440" s="8"/>
      <c r="T440" s="8"/>
    </row>
    <row r="441" spans="2:20" ht="12.75"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403"/>
      <c r="M441" s="8"/>
      <c r="N441" s="403"/>
      <c r="O441" s="8"/>
      <c r="P441" s="403"/>
      <c r="Q441" s="403"/>
      <c r="R441" s="403"/>
      <c r="S441" s="8"/>
      <c r="T441" s="8"/>
    </row>
    <row r="442" spans="2:20" ht="12.75"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403"/>
      <c r="M442" s="8"/>
      <c r="N442" s="403"/>
      <c r="O442" s="8"/>
      <c r="P442" s="403"/>
      <c r="Q442" s="403"/>
      <c r="R442" s="403"/>
      <c r="S442" s="8"/>
      <c r="T442" s="8"/>
    </row>
    <row r="443" spans="2:20" ht="12.75"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403"/>
      <c r="M443" s="8"/>
      <c r="N443" s="403"/>
      <c r="O443" s="8"/>
      <c r="P443" s="403"/>
      <c r="Q443" s="403"/>
      <c r="R443" s="403"/>
      <c r="S443" s="8"/>
      <c r="T443" s="8"/>
    </row>
    <row r="444" spans="2:20" ht="12.75"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403"/>
      <c r="M444" s="8"/>
      <c r="N444" s="403"/>
      <c r="O444" s="8"/>
      <c r="P444" s="403"/>
      <c r="Q444" s="403"/>
      <c r="R444" s="403"/>
      <c r="S444" s="8"/>
      <c r="T444" s="8"/>
    </row>
    <row r="445" spans="2:20" ht="12.75"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403"/>
      <c r="M445" s="8"/>
      <c r="N445" s="403"/>
      <c r="O445" s="8"/>
      <c r="P445" s="403"/>
      <c r="Q445" s="403"/>
      <c r="R445" s="403"/>
      <c r="S445" s="8"/>
      <c r="T445" s="8"/>
    </row>
    <row r="446" spans="2:20" ht="12.75"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403"/>
      <c r="M446" s="8"/>
      <c r="N446" s="403"/>
      <c r="O446" s="8"/>
      <c r="P446" s="403"/>
      <c r="Q446" s="403"/>
      <c r="R446" s="403"/>
      <c r="S446" s="8"/>
      <c r="T446" s="8"/>
    </row>
    <row r="447" spans="2:20" ht="12.75"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403"/>
      <c r="M447" s="8"/>
      <c r="N447" s="403"/>
      <c r="O447" s="8"/>
      <c r="P447" s="403"/>
      <c r="Q447" s="403"/>
      <c r="R447" s="403"/>
      <c r="S447" s="8"/>
      <c r="T447" s="8"/>
    </row>
    <row r="448" spans="2:20" ht="12.75"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403"/>
      <c r="M448" s="8"/>
      <c r="N448" s="403"/>
      <c r="O448" s="8"/>
      <c r="P448" s="403"/>
      <c r="Q448" s="403"/>
      <c r="R448" s="403"/>
      <c r="S448" s="8"/>
      <c r="T448" s="8"/>
    </row>
    <row r="449" spans="2:20" ht="12.75"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403"/>
      <c r="M449" s="8"/>
      <c r="N449" s="403"/>
      <c r="O449" s="8"/>
      <c r="P449" s="403"/>
      <c r="Q449" s="403"/>
      <c r="R449" s="403"/>
      <c r="S449" s="8"/>
      <c r="T449" s="8"/>
    </row>
    <row r="450" spans="2:20" ht="12.75"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403"/>
      <c r="M450" s="8"/>
      <c r="N450" s="403"/>
      <c r="O450" s="8"/>
      <c r="P450" s="403"/>
      <c r="Q450" s="403"/>
      <c r="R450" s="403"/>
      <c r="S450" s="8"/>
      <c r="T450" s="8"/>
    </row>
    <row r="451" spans="2:20" ht="12.75"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403"/>
      <c r="M451" s="8"/>
      <c r="N451" s="403"/>
      <c r="O451" s="8"/>
      <c r="P451" s="403"/>
      <c r="Q451" s="403"/>
      <c r="R451" s="403"/>
      <c r="S451" s="8"/>
      <c r="T451" s="8"/>
    </row>
    <row r="452" spans="2:20" ht="12.75"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403"/>
      <c r="M452" s="8"/>
      <c r="N452" s="403"/>
      <c r="O452" s="8"/>
      <c r="P452" s="403"/>
      <c r="Q452" s="403"/>
      <c r="R452" s="403"/>
      <c r="S452" s="8"/>
      <c r="T452" s="8"/>
    </row>
    <row r="453" spans="2:20" ht="12.75"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403"/>
      <c r="M453" s="8"/>
      <c r="N453" s="403"/>
      <c r="O453" s="8"/>
      <c r="P453" s="403"/>
      <c r="Q453" s="403"/>
      <c r="R453" s="403"/>
      <c r="S453" s="8"/>
      <c r="T453" s="8"/>
    </row>
    <row r="454" spans="2:20" ht="12.75"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403"/>
      <c r="M454" s="8"/>
      <c r="N454" s="403"/>
      <c r="O454" s="8"/>
      <c r="P454" s="403"/>
      <c r="Q454" s="403"/>
      <c r="R454" s="403"/>
      <c r="S454" s="8"/>
      <c r="T454" s="8"/>
    </row>
    <row r="455" spans="2:20" ht="12.75"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403"/>
      <c r="M455" s="8"/>
      <c r="N455" s="403"/>
      <c r="O455" s="8"/>
      <c r="P455" s="403"/>
      <c r="Q455" s="403"/>
      <c r="R455" s="403"/>
      <c r="S455" s="8"/>
      <c r="T455" s="8"/>
    </row>
    <row r="456" spans="2:20" ht="12.75"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403"/>
      <c r="M456" s="8"/>
      <c r="N456" s="403"/>
      <c r="O456" s="8"/>
      <c r="P456" s="403"/>
      <c r="Q456" s="403"/>
      <c r="R456" s="403"/>
      <c r="S456" s="8"/>
      <c r="T456" s="8"/>
    </row>
    <row r="457" spans="2:20" ht="12.75"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403"/>
      <c r="M457" s="8"/>
      <c r="N457" s="403"/>
      <c r="O457" s="8"/>
      <c r="P457" s="403"/>
      <c r="Q457" s="403"/>
      <c r="R457" s="403"/>
      <c r="S457" s="8"/>
      <c r="T457" s="8"/>
    </row>
    <row r="458" spans="2:20" ht="12.75"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403"/>
      <c r="M458" s="8"/>
      <c r="N458" s="403"/>
      <c r="O458" s="8"/>
      <c r="P458" s="403"/>
      <c r="Q458" s="403"/>
      <c r="R458" s="403"/>
      <c r="S458" s="8"/>
      <c r="T458" s="8"/>
    </row>
    <row r="459" spans="2:20" ht="12.75"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403"/>
      <c r="M459" s="8"/>
      <c r="N459" s="403"/>
      <c r="O459" s="8"/>
      <c r="P459" s="403"/>
      <c r="Q459" s="403"/>
      <c r="R459" s="403"/>
      <c r="S459" s="8"/>
      <c r="T459" s="8"/>
    </row>
    <row r="460" spans="2:20" ht="12.75"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403"/>
      <c r="M460" s="8"/>
      <c r="N460" s="403"/>
      <c r="O460" s="8"/>
      <c r="P460" s="403"/>
      <c r="Q460" s="403"/>
      <c r="R460" s="403"/>
      <c r="S460" s="8"/>
      <c r="T460" s="8"/>
    </row>
    <row r="461" spans="2:20" ht="12.75"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403"/>
      <c r="M461" s="8"/>
      <c r="N461" s="403"/>
      <c r="O461" s="8"/>
      <c r="P461" s="403"/>
      <c r="Q461" s="403"/>
      <c r="R461" s="403"/>
      <c r="S461" s="8"/>
      <c r="T461" s="8"/>
    </row>
    <row r="462" spans="2:20" ht="12.75"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403"/>
      <c r="M462" s="8"/>
      <c r="N462" s="403"/>
      <c r="O462" s="8"/>
      <c r="P462" s="403"/>
      <c r="Q462" s="403"/>
      <c r="R462" s="403"/>
      <c r="S462" s="8"/>
      <c r="T462" s="8"/>
    </row>
    <row r="463" spans="2:20" ht="12.75"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403"/>
      <c r="M463" s="8"/>
      <c r="N463" s="403"/>
      <c r="O463" s="8"/>
      <c r="P463" s="403"/>
      <c r="Q463" s="403"/>
      <c r="R463" s="403"/>
      <c r="S463" s="8"/>
      <c r="T463" s="8"/>
    </row>
    <row r="464" spans="2:20" ht="12.75"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403"/>
      <c r="M464" s="8"/>
      <c r="N464" s="403"/>
      <c r="O464" s="8"/>
      <c r="P464" s="403"/>
      <c r="Q464" s="403"/>
      <c r="R464" s="403"/>
      <c r="S464" s="8"/>
      <c r="T464" s="8"/>
    </row>
    <row r="465" spans="2:20" ht="12.75"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403"/>
      <c r="M465" s="8"/>
      <c r="N465" s="403"/>
      <c r="O465" s="8"/>
      <c r="P465" s="403"/>
      <c r="Q465" s="403"/>
      <c r="R465" s="403"/>
      <c r="S465" s="8"/>
      <c r="T465" s="8"/>
    </row>
    <row r="466" spans="2:20" ht="12.75"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403"/>
      <c r="M466" s="8"/>
      <c r="N466" s="403"/>
      <c r="O466" s="8"/>
      <c r="P466" s="403"/>
      <c r="Q466" s="403"/>
      <c r="R466" s="403"/>
      <c r="S466" s="8"/>
      <c r="T466" s="8"/>
    </row>
    <row r="467" spans="2:20" ht="12.75"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403"/>
      <c r="M467" s="8"/>
      <c r="N467" s="403"/>
      <c r="O467" s="8"/>
      <c r="P467" s="403"/>
      <c r="Q467" s="403"/>
      <c r="R467" s="403"/>
      <c r="S467" s="8"/>
      <c r="T467" s="8"/>
    </row>
    <row r="468" spans="2:20" ht="12.75"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403"/>
      <c r="M468" s="8"/>
      <c r="N468" s="403"/>
      <c r="O468" s="8"/>
      <c r="P468" s="403"/>
      <c r="Q468" s="403"/>
      <c r="R468" s="403"/>
      <c r="S468" s="8"/>
      <c r="T468" s="8"/>
    </row>
    <row r="469" spans="2:20" ht="12.75"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403"/>
      <c r="M469" s="8"/>
      <c r="N469" s="403"/>
      <c r="O469" s="8"/>
      <c r="P469" s="403"/>
      <c r="Q469" s="403"/>
      <c r="R469" s="403"/>
      <c r="S469" s="8"/>
      <c r="T469" s="8"/>
    </row>
    <row r="470" spans="2:20" ht="12.75"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403"/>
      <c r="M470" s="8"/>
      <c r="N470" s="403"/>
      <c r="O470" s="8"/>
      <c r="P470" s="403"/>
      <c r="Q470" s="403"/>
      <c r="R470" s="403"/>
      <c r="S470" s="8"/>
      <c r="T470" s="8"/>
    </row>
    <row r="471" spans="2:20" ht="12.75"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403"/>
      <c r="M471" s="8"/>
      <c r="N471" s="403"/>
      <c r="O471" s="8"/>
      <c r="P471" s="403"/>
      <c r="Q471" s="403"/>
      <c r="R471" s="403"/>
      <c r="S471" s="8"/>
      <c r="T471" s="8"/>
    </row>
    <row r="472" spans="2:20" ht="12.75"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403"/>
      <c r="M472" s="8"/>
      <c r="N472" s="403"/>
      <c r="O472" s="8"/>
      <c r="P472" s="403"/>
      <c r="Q472" s="403"/>
      <c r="R472" s="403"/>
      <c r="S472" s="8"/>
      <c r="T472" s="8"/>
    </row>
    <row r="473" spans="2:20" ht="12.75"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403"/>
      <c r="M473" s="8"/>
      <c r="N473" s="403"/>
      <c r="O473" s="8"/>
      <c r="P473" s="403"/>
      <c r="Q473" s="403"/>
      <c r="R473" s="403"/>
      <c r="S473" s="8"/>
      <c r="T473" s="8"/>
    </row>
    <row r="474" spans="2:20" ht="12.75"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403"/>
      <c r="M474" s="8"/>
      <c r="N474" s="403"/>
      <c r="O474" s="8"/>
      <c r="P474" s="403"/>
      <c r="Q474" s="403"/>
      <c r="R474" s="403"/>
      <c r="S474" s="8"/>
      <c r="T474" s="8"/>
    </row>
    <row r="475" spans="2:20" ht="12.75"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403"/>
      <c r="M475" s="8"/>
      <c r="N475" s="403"/>
      <c r="O475" s="8"/>
      <c r="P475" s="403"/>
      <c r="Q475" s="403"/>
      <c r="R475" s="403"/>
      <c r="S475" s="8"/>
      <c r="T475" s="8"/>
    </row>
    <row r="476" spans="2:20" ht="12.75"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403"/>
      <c r="M476" s="8"/>
      <c r="N476" s="403"/>
      <c r="O476" s="8"/>
      <c r="P476" s="403"/>
      <c r="Q476" s="403"/>
      <c r="R476" s="403"/>
      <c r="S476" s="8"/>
      <c r="T476" s="8"/>
    </row>
    <row r="477" spans="2:20" ht="12.75"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403"/>
      <c r="M477" s="8"/>
      <c r="N477" s="403"/>
      <c r="O477" s="8"/>
      <c r="P477" s="403"/>
      <c r="Q477" s="403"/>
      <c r="R477" s="403"/>
      <c r="S477" s="8"/>
      <c r="T477" s="8"/>
    </row>
    <row r="478" spans="2:20" ht="12.75"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403"/>
      <c r="M478" s="8"/>
      <c r="N478" s="403"/>
      <c r="O478" s="8"/>
      <c r="P478" s="403"/>
      <c r="Q478" s="403"/>
      <c r="R478" s="403"/>
      <c r="S478" s="8"/>
      <c r="T478" s="8"/>
    </row>
    <row r="479" spans="2:20" ht="12.75"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403"/>
      <c r="M479" s="8"/>
      <c r="N479" s="403"/>
      <c r="O479" s="8"/>
      <c r="P479" s="403"/>
      <c r="Q479" s="403"/>
      <c r="R479" s="403"/>
      <c r="S479" s="8"/>
      <c r="T479" s="8"/>
    </row>
    <row r="480" spans="2:20" ht="12.75"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403"/>
      <c r="M480" s="8"/>
      <c r="N480" s="403"/>
      <c r="O480" s="8"/>
      <c r="P480" s="403"/>
      <c r="Q480" s="403"/>
      <c r="R480" s="403"/>
      <c r="S480" s="8"/>
      <c r="T480" s="8"/>
    </row>
    <row r="481" spans="2:20" ht="12.75"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403"/>
      <c r="M481" s="8"/>
      <c r="N481" s="403"/>
      <c r="O481" s="8"/>
      <c r="P481" s="403"/>
      <c r="Q481" s="403"/>
      <c r="R481" s="403"/>
      <c r="S481" s="8"/>
      <c r="T481" s="8"/>
    </row>
    <row r="482" spans="2:20" ht="12.75"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403"/>
      <c r="M482" s="8"/>
      <c r="N482" s="403"/>
      <c r="O482" s="8"/>
      <c r="P482" s="403"/>
      <c r="Q482" s="403"/>
      <c r="R482" s="403"/>
      <c r="S482" s="8"/>
      <c r="T482" s="8"/>
    </row>
    <row r="483" spans="2:20" ht="12.75"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403"/>
      <c r="M483" s="8"/>
      <c r="N483" s="403"/>
      <c r="O483" s="8"/>
      <c r="P483" s="403"/>
      <c r="Q483" s="403"/>
      <c r="R483" s="403"/>
      <c r="S483" s="8"/>
      <c r="T483" s="8"/>
    </row>
    <row r="484" spans="2:20" ht="12.75"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403"/>
      <c r="M484" s="8"/>
      <c r="N484" s="403"/>
      <c r="O484" s="8"/>
      <c r="P484" s="403"/>
      <c r="Q484" s="403"/>
      <c r="R484" s="403"/>
      <c r="S484" s="8"/>
      <c r="T484" s="8"/>
    </row>
    <row r="485" spans="2:20" ht="12.75"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403"/>
      <c r="M485" s="8"/>
      <c r="N485" s="403"/>
      <c r="O485" s="8"/>
      <c r="P485" s="403"/>
      <c r="Q485" s="403"/>
      <c r="R485" s="403"/>
      <c r="S485" s="8"/>
      <c r="T485" s="8"/>
    </row>
    <row r="486" spans="2:20" ht="12.75"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403"/>
      <c r="M486" s="8"/>
      <c r="N486" s="403"/>
      <c r="O486" s="8"/>
      <c r="P486" s="403"/>
      <c r="Q486" s="403"/>
      <c r="R486" s="403"/>
      <c r="S486" s="8"/>
      <c r="T486" s="8"/>
    </row>
    <row r="487" spans="2:20" ht="12.75"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403"/>
      <c r="M487" s="8"/>
      <c r="N487" s="403"/>
      <c r="O487" s="8"/>
      <c r="P487" s="403"/>
      <c r="Q487" s="403"/>
      <c r="R487" s="403"/>
      <c r="S487" s="8"/>
      <c r="T487" s="8"/>
    </row>
    <row r="488" spans="2:20" ht="12.75"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403"/>
      <c r="M488" s="8"/>
      <c r="N488" s="403"/>
      <c r="O488" s="8"/>
      <c r="P488" s="403"/>
      <c r="Q488" s="403"/>
      <c r="R488" s="403"/>
      <c r="S488" s="8"/>
      <c r="T488" s="8"/>
    </row>
    <row r="489" spans="2:20" ht="12.75"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403"/>
      <c r="M489" s="8"/>
      <c r="N489" s="403"/>
      <c r="O489" s="8"/>
      <c r="P489" s="403"/>
      <c r="Q489" s="403"/>
      <c r="R489" s="403"/>
      <c r="S489" s="8"/>
      <c r="T489" s="8"/>
    </row>
    <row r="490" spans="2:20" ht="12.75"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403"/>
      <c r="M490" s="8"/>
      <c r="N490" s="403"/>
      <c r="O490" s="8"/>
      <c r="P490" s="403"/>
      <c r="Q490" s="403"/>
      <c r="R490" s="403"/>
      <c r="S490" s="8"/>
      <c r="T490" s="8"/>
    </row>
    <row r="491" spans="2:20" ht="12.75"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403"/>
      <c r="M491" s="8"/>
      <c r="N491" s="403"/>
      <c r="O491" s="8"/>
      <c r="P491" s="403"/>
      <c r="Q491" s="403"/>
      <c r="R491" s="403"/>
      <c r="S491" s="8"/>
      <c r="T491" s="8"/>
    </row>
    <row r="492" spans="2:20" ht="12.75"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403"/>
      <c r="M492" s="8"/>
      <c r="N492" s="403"/>
      <c r="O492" s="8"/>
      <c r="P492" s="403"/>
      <c r="Q492" s="403"/>
      <c r="R492" s="403"/>
      <c r="S492" s="8"/>
      <c r="T492" s="8"/>
    </row>
    <row r="493" spans="2:20" ht="12.75"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403"/>
      <c r="M493" s="8"/>
      <c r="N493" s="403"/>
      <c r="O493" s="8"/>
      <c r="P493" s="403"/>
      <c r="Q493" s="403"/>
      <c r="R493" s="403"/>
      <c r="S493" s="8"/>
      <c r="T493" s="8"/>
    </row>
    <row r="494" spans="2:20" ht="12.75"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403"/>
      <c r="M494" s="8"/>
      <c r="N494" s="403"/>
      <c r="O494" s="8"/>
      <c r="P494" s="403"/>
      <c r="Q494" s="403"/>
      <c r="R494" s="403"/>
      <c r="S494" s="8"/>
      <c r="T494" s="8"/>
    </row>
    <row r="495" spans="2:20" ht="12.75"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403"/>
      <c r="M495" s="8"/>
      <c r="N495" s="403"/>
      <c r="O495" s="8"/>
      <c r="P495" s="403"/>
      <c r="Q495" s="403"/>
      <c r="R495" s="403"/>
      <c r="S495" s="8"/>
      <c r="T495" s="8"/>
    </row>
    <row r="496" spans="2:20" ht="12.75"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403"/>
      <c r="M496" s="8"/>
      <c r="N496" s="403"/>
      <c r="O496" s="8"/>
      <c r="P496" s="403"/>
      <c r="Q496" s="403"/>
      <c r="R496" s="403"/>
      <c r="S496" s="8"/>
      <c r="T496" s="8"/>
    </row>
    <row r="497" spans="2:20" ht="12.75"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403"/>
      <c r="M497" s="8"/>
      <c r="N497" s="403"/>
      <c r="O497" s="8"/>
      <c r="P497" s="403"/>
      <c r="Q497" s="403"/>
      <c r="R497" s="403"/>
      <c r="S497" s="8"/>
      <c r="T497" s="8"/>
    </row>
    <row r="498" spans="2:20" ht="12.75"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403"/>
      <c r="M498" s="8"/>
      <c r="N498" s="403"/>
      <c r="O498" s="8"/>
      <c r="P498" s="403"/>
      <c r="Q498" s="403"/>
      <c r="R498" s="403"/>
      <c r="S498" s="8"/>
      <c r="T498" s="8"/>
    </row>
    <row r="499" spans="2:20" ht="12.75"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403"/>
      <c r="M499" s="8"/>
      <c r="N499" s="403"/>
      <c r="O499" s="8"/>
      <c r="P499" s="403"/>
      <c r="Q499" s="403"/>
      <c r="R499" s="403"/>
      <c r="S499" s="8"/>
      <c r="T499" s="8"/>
    </row>
    <row r="500" spans="2:20" ht="12.75"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403"/>
      <c r="M500" s="8"/>
      <c r="N500" s="403"/>
      <c r="O500" s="8"/>
      <c r="P500" s="403"/>
      <c r="Q500" s="403"/>
      <c r="R500" s="403"/>
      <c r="S500" s="8"/>
      <c r="T500" s="8"/>
    </row>
    <row r="501" spans="2:20" ht="12.75"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403"/>
      <c r="M501" s="8"/>
      <c r="N501" s="403"/>
      <c r="O501" s="8"/>
      <c r="P501" s="403"/>
      <c r="Q501" s="403"/>
      <c r="R501" s="403"/>
      <c r="S501" s="8"/>
      <c r="T501" s="8"/>
    </row>
    <row r="502" spans="2:20" ht="12.75"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403"/>
      <c r="M502" s="8"/>
      <c r="N502" s="403"/>
      <c r="O502" s="8"/>
      <c r="P502" s="403"/>
      <c r="Q502" s="403"/>
      <c r="R502" s="403"/>
      <c r="S502" s="8"/>
      <c r="T502" s="8"/>
    </row>
    <row r="503" spans="2:20" ht="12.75"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403"/>
      <c r="M503" s="8"/>
      <c r="N503" s="403"/>
      <c r="O503" s="8"/>
      <c r="P503" s="403"/>
      <c r="Q503" s="403"/>
      <c r="R503" s="403"/>
      <c r="S503" s="8"/>
      <c r="T503" s="8"/>
    </row>
    <row r="504" spans="2:20" ht="12.75"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403"/>
      <c r="M504" s="8"/>
      <c r="N504" s="403"/>
      <c r="O504" s="8"/>
      <c r="P504" s="403"/>
      <c r="Q504" s="403"/>
      <c r="R504" s="403"/>
      <c r="S504" s="8"/>
      <c r="T504" s="8"/>
    </row>
    <row r="505" spans="2:20" ht="12.75"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403"/>
      <c r="M505" s="8"/>
      <c r="N505" s="403"/>
      <c r="O505" s="8"/>
      <c r="P505" s="403"/>
      <c r="Q505" s="403"/>
      <c r="R505" s="403"/>
      <c r="S505" s="8"/>
      <c r="T505" s="8"/>
    </row>
    <row r="506" spans="2:20" ht="12.75"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403"/>
      <c r="M506" s="8"/>
      <c r="N506" s="403"/>
      <c r="O506" s="8"/>
      <c r="P506" s="403"/>
      <c r="Q506" s="403"/>
      <c r="R506" s="403"/>
      <c r="S506" s="8"/>
      <c r="T506" s="8"/>
    </row>
    <row r="507" spans="2:20" ht="12.75"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403"/>
      <c r="M507" s="8"/>
      <c r="N507" s="403"/>
      <c r="O507" s="8"/>
      <c r="P507" s="403"/>
      <c r="Q507" s="403"/>
      <c r="R507" s="403"/>
      <c r="S507" s="8"/>
      <c r="T507" s="8"/>
    </row>
    <row r="508" spans="2:20" ht="12.75"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403"/>
      <c r="M508" s="8"/>
      <c r="N508" s="403"/>
      <c r="O508" s="8"/>
      <c r="P508" s="403"/>
      <c r="Q508" s="403"/>
      <c r="R508" s="403"/>
      <c r="S508" s="8"/>
      <c r="T508" s="8"/>
    </row>
    <row r="509" spans="2:20" ht="12.75"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403"/>
      <c r="M509" s="8"/>
      <c r="N509" s="403"/>
      <c r="O509" s="8"/>
      <c r="P509" s="403"/>
      <c r="Q509" s="403"/>
      <c r="R509" s="403"/>
      <c r="S509" s="8"/>
      <c r="T509" s="8"/>
    </row>
    <row r="510" spans="2:20" ht="12.75"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403"/>
      <c r="M510" s="8"/>
      <c r="N510" s="403"/>
      <c r="O510" s="8"/>
      <c r="P510" s="403"/>
      <c r="Q510" s="403"/>
      <c r="R510" s="403"/>
      <c r="S510" s="8"/>
      <c r="T510" s="8"/>
    </row>
    <row r="511" spans="2:20" ht="12.75"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403"/>
      <c r="M511" s="8"/>
      <c r="N511" s="403"/>
      <c r="O511" s="8"/>
      <c r="P511" s="403"/>
      <c r="Q511" s="403"/>
      <c r="R511" s="403"/>
      <c r="S511" s="8"/>
      <c r="T511" s="8"/>
    </row>
    <row r="512" spans="2:20" ht="12.75"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403"/>
      <c r="M512" s="8"/>
      <c r="N512" s="403"/>
      <c r="O512" s="8"/>
      <c r="P512" s="403"/>
      <c r="Q512" s="403"/>
      <c r="R512" s="403"/>
      <c r="S512" s="8"/>
      <c r="T512" s="8"/>
    </row>
    <row r="513" spans="2:20" ht="12.75"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403"/>
      <c r="M513" s="8"/>
      <c r="N513" s="403"/>
      <c r="O513" s="8"/>
      <c r="P513" s="403"/>
      <c r="Q513" s="403"/>
      <c r="R513" s="403"/>
      <c r="S513" s="8"/>
      <c r="T513" s="8"/>
    </row>
    <row r="514" spans="2:20" ht="12.75"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403"/>
      <c r="M514" s="8"/>
      <c r="N514" s="403"/>
      <c r="O514" s="8"/>
      <c r="P514" s="403"/>
      <c r="Q514" s="403"/>
      <c r="R514" s="403"/>
      <c r="S514" s="8"/>
      <c r="T514" s="8"/>
    </row>
    <row r="515" spans="2:20" ht="12.75"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403"/>
      <c r="M515" s="8"/>
      <c r="N515" s="403"/>
      <c r="O515" s="8"/>
      <c r="P515" s="403"/>
      <c r="Q515" s="403"/>
      <c r="R515" s="403"/>
      <c r="S515" s="8"/>
      <c r="T515" s="8"/>
    </row>
    <row r="516" spans="2:20" ht="12.75"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403"/>
      <c r="M516" s="8"/>
      <c r="N516" s="403"/>
      <c r="O516" s="8"/>
      <c r="P516" s="403"/>
      <c r="Q516" s="403"/>
      <c r="R516" s="403"/>
      <c r="S516" s="8"/>
      <c r="T516" s="8"/>
    </row>
    <row r="517" spans="2:20" ht="12.75"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403"/>
      <c r="M517" s="8"/>
      <c r="N517" s="403"/>
      <c r="O517" s="8"/>
      <c r="P517" s="403"/>
      <c r="Q517" s="403"/>
      <c r="R517" s="403"/>
      <c r="S517" s="8"/>
      <c r="T517" s="8"/>
    </row>
    <row r="518" spans="2:20" ht="12.75"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403"/>
      <c r="M518" s="8"/>
      <c r="N518" s="403"/>
      <c r="O518" s="8"/>
      <c r="P518" s="403"/>
      <c r="Q518" s="403"/>
      <c r="R518" s="403"/>
      <c r="S518" s="8"/>
      <c r="T518" s="8"/>
    </row>
    <row r="519" spans="2:20" ht="12.75"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403"/>
      <c r="M519" s="8"/>
      <c r="N519" s="403"/>
      <c r="O519" s="8"/>
      <c r="P519" s="403"/>
      <c r="Q519" s="403"/>
      <c r="R519" s="403"/>
      <c r="S519" s="8"/>
      <c r="T519" s="8"/>
    </row>
    <row r="520" spans="2:20" ht="12.75"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403"/>
      <c r="M520" s="8"/>
      <c r="N520" s="403"/>
      <c r="O520" s="8"/>
      <c r="P520" s="403"/>
      <c r="Q520" s="403"/>
      <c r="R520" s="403"/>
      <c r="S520" s="8"/>
      <c r="T520" s="8"/>
    </row>
    <row r="521" spans="2:20" ht="12.75"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403"/>
      <c r="M521" s="8"/>
      <c r="N521" s="403"/>
      <c r="O521" s="8"/>
      <c r="P521" s="403"/>
      <c r="Q521" s="403"/>
      <c r="R521" s="403"/>
      <c r="S521" s="8"/>
      <c r="T521" s="8"/>
    </row>
    <row r="522" spans="2:20" ht="12.75"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403"/>
      <c r="M522" s="8"/>
      <c r="N522" s="403"/>
      <c r="O522" s="8"/>
      <c r="P522" s="403"/>
      <c r="Q522" s="403"/>
      <c r="R522" s="403"/>
      <c r="S522" s="8"/>
      <c r="T522" s="8"/>
    </row>
    <row r="523" spans="2:20" ht="12.75"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403"/>
      <c r="M523" s="8"/>
      <c r="N523" s="403"/>
      <c r="O523" s="8"/>
      <c r="P523" s="403"/>
      <c r="Q523" s="403"/>
      <c r="R523" s="403"/>
      <c r="S523" s="8"/>
      <c r="T523" s="8"/>
    </row>
    <row r="524" spans="2:20" ht="12.75"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403"/>
      <c r="M524" s="8"/>
      <c r="N524" s="403"/>
      <c r="O524" s="8"/>
      <c r="P524" s="403"/>
      <c r="Q524" s="403"/>
      <c r="R524" s="403"/>
      <c r="S524" s="8"/>
      <c r="T524" s="8"/>
    </row>
    <row r="525" spans="2:20" ht="12.75"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403"/>
      <c r="M525" s="8"/>
      <c r="N525" s="403"/>
      <c r="O525" s="8"/>
      <c r="P525" s="403"/>
      <c r="Q525" s="403"/>
      <c r="R525" s="403"/>
      <c r="S525" s="8"/>
      <c r="T525" s="8"/>
    </row>
    <row r="526" spans="2:20" ht="12.75"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403"/>
      <c r="M526" s="8"/>
      <c r="N526" s="403"/>
      <c r="O526" s="8"/>
      <c r="P526" s="403"/>
      <c r="Q526" s="403"/>
      <c r="R526" s="403"/>
      <c r="S526" s="8"/>
      <c r="T526" s="8"/>
    </row>
    <row r="527" spans="2:20" ht="12.75"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403"/>
      <c r="M527" s="8"/>
      <c r="N527" s="403"/>
      <c r="O527" s="8"/>
      <c r="P527" s="403"/>
      <c r="Q527" s="403"/>
      <c r="R527" s="403"/>
      <c r="S527" s="8"/>
      <c r="T527" s="8"/>
    </row>
    <row r="528" spans="2:20" ht="12.75"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403"/>
      <c r="M528" s="8"/>
      <c r="N528" s="403"/>
      <c r="O528" s="8"/>
      <c r="P528" s="403"/>
      <c r="Q528" s="403"/>
      <c r="R528" s="403"/>
      <c r="S528" s="8"/>
      <c r="T528" s="8"/>
    </row>
    <row r="529" spans="2:20" ht="12.75"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403"/>
      <c r="M529" s="8"/>
      <c r="N529" s="403"/>
      <c r="O529" s="8"/>
      <c r="P529" s="403"/>
      <c r="Q529" s="403"/>
      <c r="R529" s="403"/>
      <c r="S529" s="8"/>
      <c r="T529" s="8"/>
    </row>
    <row r="530" spans="2:20" ht="12.75"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403"/>
      <c r="M530" s="8"/>
      <c r="N530" s="403"/>
      <c r="O530" s="8"/>
      <c r="P530" s="403"/>
      <c r="Q530" s="403"/>
      <c r="R530" s="403"/>
      <c r="S530" s="8"/>
      <c r="T530" s="8"/>
    </row>
    <row r="531" spans="2:20" ht="12.75"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403"/>
      <c r="M531" s="8"/>
      <c r="N531" s="403"/>
      <c r="O531" s="8"/>
      <c r="P531" s="403"/>
      <c r="Q531" s="403"/>
      <c r="R531" s="403"/>
      <c r="S531" s="8"/>
      <c r="T531" s="8"/>
    </row>
    <row r="532" spans="2:20" ht="12.75"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403"/>
      <c r="M532" s="8"/>
      <c r="N532" s="403"/>
      <c r="O532" s="8"/>
      <c r="P532" s="403"/>
      <c r="Q532" s="403"/>
      <c r="R532" s="403"/>
      <c r="S532" s="8"/>
      <c r="T532" s="8"/>
    </row>
    <row r="533" spans="2:20" ht="12.75"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403"/>
      <c r="M533" s="8"/>
      <c r="N533" s="403"/>
      <c r="O533" s="8"/>
      <c r="P533" s="403"/>
      <c r="Q533" s="403"/>
      <c r="R533" s="403"/>
      <c r="S533" s="8"/>
      <c r="T533" s="8"/>
    </row>
    <row r="534" spans="2:20" ht="12.75"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403"/>
      <c r="M534" s="8"/>
      <c r="N534" s="403"/>
      <c r="O534" s="8"/>
      <c r="P534" s="403"/>
      <c r="Q534" s="403"/>
      <c r="R534" s="403"/>
      <c r="S534" s="8"/>
      <c r="T534" s="8"/>
    </row>
    <row r="535" spans="2:20" ht="12.75"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403"/>
      <c r="M535" s="8"/>
      <c r="N535" s="403"/>
      <c r="O535" s="8"/>
      <c r="P535" s="403"/>
      <c r="Q535" s="403"/>
      <c r="R535" s="403"/>
      <c r="S535" s="8"/>
      <c r="T535" s="8"/>
    </row>
    <row r="536" spans="2:20" ht="12.75"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403"/>
      <c r="M536" s="8"/>
      <c r="N536" s="403"/>
      <c r="O536" s="8"/>
      <c r="P536" s="403"/>
      <c r="Q536" s="403"/>
      <c r="R536" s="403"/>
      <c r="S536" s="8"/>
      <c r="T536" s="8"/>
    </row>
    <row r="537" spans="2:20" ht="12.75"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403"/>
      <c r="M537" s="8"/>
      <c r="N537" s="403"/>
      <c r="O537" s="8"/>
      <c r="P537" s="403"/>
      <c r="Q537" s="403"/>
      <c r="R537" s="403"/>
      <c r="S537" s="8"/>
      <c r="T537" s="8"/>
    </row>
    <row r="538" spans="2:20" ht="12.75"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403"/>
      <c r="M538" s="8"/>
      <c r="N538" s="403"/>
      <c r="O538" s="8"/>
      <c r="P538" s="403"/>
      <c r="Q538" s="403"/>
      <c r="R538" s="403"/>
      <c r="S538" s="8"/>
      <c r="T538" s="8"/>
    </row>
    <row r="539" spans="2:20" ht="12.75"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403"/>
      <c r="M539" s="8"/>
      <c r="N539" s="403"/>
      <c r="O539" s="8"/>
      <c r="P539" s="403"/>
      <c r="Q539" s="403"/>
      <c r="R539" s="403"/>
      <c r="S539" s="8"/>
      <c r="T539" s="8"/>
    </row>
    <row r="540" spans="2:20" ht="12.75"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403"/>
      <c r="M540" s="8"/>
      <c r="N540" s="403"/>
      <c r="O540" s="8"/>
      <c r="P540" s="403"/>
      <c r="Q540" s="403"/>
      <c r="R540" s="403"/>
      <c r="S540" s="8"/>
      <c r="T540" s="8"/>
    </row>
    <row r="541" spans="2:20" ht="12.75"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403"/>
      <c r="M541" s="8"/>
      <c r="N541" s="403"/>
      <c r="O541" s="8"/>
      <c r="P541" s="403"/>
      <c r="Q541" s="403"/>
      <c r="R541" s="403"/>
      <c r="S541" s="8"/>
      <c r="T541" s="8"/>
    </row>
    <row r="542" spans="2:20" ht="12.75"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403"/>
      <c r="M542" s="8"/>
      <c r="N542" s="403"/>
      <c r="O542" s="8"/>
      <c r="P542" s="403"/>
      <c r="Q542" s="403"/>
      <c r="R542" s="403"/>
      <c r="S542" s="8"/>
      <c r="T542" s="8"/>
    </row>
    <row r="543" spans="2:20" ht="12.75"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403"/>
      <c r="M543" s="8"/>
      <c r="N543" s="403"/>
      <c r="O543" s="8"/>
      <c r="P543" s="403"/>
      <c r="Q543" s="403"/>
      <c r="R543" s="403"/>
      <c r="S543" s="8"/>
      <c r="T543" s="8"/>
    </row>
    <row r="544" spans="2:20" ht="12.75"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403"/>
      <c r="M544" s="8"/>
      <c r="N544" s="403"/>
      <c r="O544" s="8"/>
      <c r="P544" s="403"/>
      <c r="Q544" s="403"/>
      <c r="R544" s="403"/>
      <c r="S544" s="8"/>
      <c r="T544" s="8"/>
    </row>
    <row r="545" spans="2:20" ht="12.75"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403"/>
      <c r="M545" s="8"/>
      <c r="N545" s="403"/>
      <c r="O545" s="8"/>
      <c r="P545" s="403"/>
      <c r="Q545" s="403"/>
      <c r="R545" s="403"/>
      <c r="S545" s="8"/>
      <c r="T545" s="8"/>
    </row>
    <row r="546" spans="2:20" ht="12.75"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403"/>
      <c r="M546" s="8"/>
      <c r="N546" s="403"/>
      <c r="O546" s="8"/>
      <c r="P546" s="403"/>
      <c r="Q546" s="403"/>
      <c r="R546" s="403"/>
      <c r="S546" s="8"/>
      <c r="T546" s="8"/>
    </row>
    <row r="547" spans="2:20" ht="12.75"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403"/>
      <c r="M547" s="8"/>
      <c r="N547" s="403"/>
      <c r="O547" s="8"/>
      <c r="P547" s="403"/>
      <c r="Q547" s="403"/>
      <c r="R547" s="403"/>
      <c r="S547" s="8"/>
      <c r="T547" s="8"/>
    </row>
    <row r="548" spans="2:20" ht="12.75"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403"/>
      <c r="M548" s="8"/>
      <c r="N548" s="403"/>
      <c r="O548" s="8"/>
      <c r="P548" s="403"/>
      <c r="Q548" s="403"/>
      <c r="R548" s="403"/>
      <c r="S548" s="8"/>
      <c r="T548" s="8"/>
    </row>
    <row r="549" spans="2:20" ht="12.75"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403"/>
      <c r="M549" s="8"/>
      <c r="N549" s="403"/>
      <c r="O549" s="8"/>
      <c r="P549" s="403"/>
      <c r="Q549" s="403"/>
      <c r="R549" s="403"/>
      <c r="S549" s="8"/>
      <c r="T549" s="8"/>
    </row>
    <row r="550" spans="2:20" ht="12.75"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403"/>
      <c r="M550" s="8"/>
      <c r="N550" s="403"/>
      <c r="O550" s="8"/>
      <c r="P550" s="403"/>
      <c r="Q550" s="403"/>
      <c r="R550" s="403"/>
      <c r="S550" s="8"/>
      <c r="T550" s="8"/>
    </row>
    <row r="551" spans="2:20" ht="12.75"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403"/>
      <c r="M551" s="8"/>
      <c r="N551" s="403"/>
      <c r="O551" s="8"/>
      <c r="P551" s="403"/>
      <c r="Q551" s="403"/>
      <c r="R551" s="403"/>
      <c r="S551" s="8"/>
      <c r="T551" s="8"/>
    </row>
    <row r="552" spans="2:20" ht="12.75"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403"/>
      <c r="M552" s="8"/>
      <c r="N552" s="403"/>
      <c r="O552" s="8"/>
      <c r="P552" s="403"/>
      <c r="Q552" s="403"/>
      <c r="R552" s="403"/>
      <c r="S552" s="8"/>
      <c r="T552" s="8"/>
    </row>
    <row r="553" spans="2:20" ht="12.75"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403"/>
      <c r="M553" s="8"/>
      <c r="N553" s="403"/>
      <c r="O553" s="8"/>
      <c r="P553" s="403"/>
      <c r="Q553" s="403"/>
      <c r="R553" s="403"/>
      <c r="S553" s="8"/>
      <c r="T553" s="8"/>
    </row>
    <row r="554" spans="2:20" ht="12.75"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403"/>
      <c r="M554" s="8"/>
      <c r="N554" s="403"/>
      <c r="O554" s="8"/>
      <c r="P554" s="403"/>
      <c r="Q554" s="403"/>
      <c r="R554" s="403"/>
      <c r="S554" s="8"/>
      <c r="T554" s="8"/>
    </row>
    <row r="555" spans="2:20" ht="12.75"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403"/>
      <c r="M555" s="8"/>
      <c r="N555" s="403"/>
      <c r="O555" s="8"/>
      <c r="P555" s="403"/>
      <c r="Q555" s="403"/>
      <c r="R555" s="403"/>
      <c r="S555" s="8"/>
      <c r="T555" s="8"/>
    </row>
    <row r="556" spans="2:20" ht="12.75"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403"/>
      <c r="M556" s="8"/>
      <c r="N556" s="403"/>
      <c r="O556" s="8"/>
      <c r="P556" s="403"/>
      <c r="Q556" s="403"/>
      <c r="R556" s="403"/>
      <c r="S556" s="8"/>
      <c r="T556" s="8"/>
    </row>
    <row r="557" spans="2:20" ht="12.75"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403"/>
      <c r="M557" s="8"/>
      <c r="N557" s="403"/>
      <c r="O557" s="8"/>
      <c r="P557" s="403"/>
      <c r="Q557" s="403"/>
      <c r="R557" s="403"/>
      <c r="S557" s="8"/>
      <c r="T557" s="8"/>
    </row>
    <row r="558" spans="2:20" ht="12.75"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403"/>
      <c r="M558" s="8"/>
      <c r="N558" s="403"/>
      <c r="O558" s="8"/>
      <c r="P558" s="403"/>
      <c r="Q558" s="403"/>
      <c r="R558" s="403"/>
      <c r="S558" s="8"/>
      <c r="T558" s="8"/>
    </row>
    <row r="559" spans="2:20" ht="12.75"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403"/>
      <c r="M559" s="8"/>
      <c r="N559" s="403"/>
      <c r="O559" s="8"/>
      <c r="P559" s="403"/>
      <c r="Q559" s="403"/>
      <c r="R559" s="403"/>
      <c r="S559" s="8"/>
      <c r="T559" s="8"/>
    </row>
    <row r="560" spans="2:20" ht="12.75"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403"/>
      <c r="M560" s="8"/>
      <c r="N560" s="403"/>
      <c r="O560" s="8"/>
      <c r="P560" s="403"/>
      <c r="Q560" s="403"/>
      <c r="R560" s="403"/>
      <c r="S560" s="8"/>
      <c r="T560" s="8"/>
    </row>
    <row r="561" spans="2:20" ht="12.75"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403"/>
      <c r="M561" s="8"/>
      <c r="N561" s="403"/>
      <c r="O561" s="8"/>
      <c r="P561" s="403"/>
      <c r="Q561" s="403"/>
      <c r="R561" s="403"/>
      <c r="S561" s="8"/>
      <c r="T561" s="8"/>
    </row>
    <row r="562" spans="2:20" ht="12.75"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403"/>
      <c r="M562" s="8"/>
      <c r="N562" s="403"/>
      <c r="O562" s="8"/>
      <c r="P562" s="403"/>
      <c r="Q562" s="403"/>
      <c r="R562" s="403"/>
      <c r="S562" s="8"/>
      <c r="T562" s="8"/>
    </row>
    <row r="563" spans="2:20" ht="12.75"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403"/>
      <c r="M563" s="8"/>
      <c r="N563" s="403"/>
      <c r="O563" s="8"/>
      <c r="P563" s="403"/>
      <c r="Q563" s="403"/>
      <c r="R563" s="403"/>
      <c r="S563" s="8"/>
      <c r="T563" s="8"/>
    </row>
    <row r="564" spans="2:20" ht="12.75"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403"/>
      <c r="M564" s="8"/>
      <c r="N564" s="403"/>
      <c r="O564" s="8"/>
      <c r="P564" s="403"/>
      <c r="Q564" s="403"/>
      <c r="R564" s="403"/>
      <c r="S564" s="8"/>
      <c r="T564" s="8"/>
    </row>
    <row r="565" spans="2:20" ht="12.75"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403"/>
      <c r="M565" s="8"/>
      <c r="N565" s="403"/>
      <c r="O565" s="8"/>
      <c r="P565" s="403"/>
      <c r="Q565" s="403"/>
      <c r="R565" s="403"/>
      <c r="S565" s="8"/>
      <c r="T565" s="8"/>
    </row>
    <row r="566" spans="2:20" ht="12.75"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403"/>
      <c r="M566" s="8"/>
      <c r="N566" s="403"/>
      <c r="O566" s="8"/>
      <c r="P566" s="403"/>
      <c r="Q566" s="403"/>
      <c r="R566" s="403"/>
      <c r="S566" s="8"/>
      <c r="T566" s="8"/>
    </row>
    <row r="567" spans="2:20" ht="12.75"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403"/>
      <c r="M567" s="8"/>
      <c r="N567" s="403"/>
      <c r="O567" s="8"/>
      <c r="P567" s="403"/>
      <c r="Q567" s="403"/>
      <c r="R567" s="403"/>
      <c r="S567" s="8"/>
      <c r="T567" s="8"/>
    </row>
    <row r="568" spans="2:20" ht="12.75"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403"/>
      <c r="M568" s="8"/>
      <c r="N568" s="403"/>
      <c r="O568" s="8"/>
      <c r="P568" s="403"/>
      <c r="Q568" s="403"/>
      <c r="R568" s="403"/>
      <c r="S568" s="8"/>
      <c r="T568" s="8"/>
    </row>
    <row r="569" spans="2:20" ht="12.75"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403"/>
      <c r="M569" s="8"/>
      <c r="N569" s="403"/>
      <c r="O569" s="8"/>
      <c r="P569" s="403"/>
      <c r="Q569" s="403"/>
      <c r="R569" s="403"/>
      <c r="S569" s="8"/>
      <c r="T569" s="8"/>
    </row>
    <row r="570" spans="2:20" ht="12.75"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403"/>
      <c r="M570" s="8"/>
      <c r="N570" s="403"/>
      <c r="O570" s="8"/>
      <c r="P570" s="403"/>
      <c r="Q570" s="403"/>
      <c r="R570" s="403"/>
      <c r="S570" s="8"/>
      <c r="T570" s="8"/>
    </row>
    <row r="571" spans="2:20" ht="12.75"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403"/>
      <c r="M571" s="8"/>
      <c r="N571" s="403"/>
      <c r="O571" s="8"/>
      <c r="P571" s="403"/>
      <c r="Q571" s="403"/>
      <c r="R571" s="403"/>
      <c r="S571" s="8"/>
      <c r="T571" s="8"/>
    </row>
    <row r="572" spans="2:20" ht="12.75"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403"/>
      <c r="M572" s="8"/>
      <c r="N572" s="403"/>
      <c r="O572" s="8"/>
      <c r="P572" s="403"/>
      <c r="Q572" s="403"/>
      <c r="R572" s="403"/>
      <c r="S572" s="8"/>
      <c r="T572" s="8"/>
    </row>
    <row r="573" spans="2:20" ht="12.75"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403"/>
      <c r="M573" s="8"/>
      <c r="N573" s="403"/>
      <c r="O573" s="8"/>
      <c r="P573" s="403"/>
      <c r="Q573" s="403"/>
      <c r="R573" s="403"/>
      <c r="S573" s="8"/>
      <c r="T573" s="8"/>
    </row>
    <row r="574" spans="2:20" ht="12.75"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403"/>
      <c r="M574" s="8"/>
      <c r="N574" s="403"/>
      <c r="O574" s="8"/>
      <c r="P574" s="403"/>
      <c r="Q574" s="403"/>
      <c r="R574" s="403"/>
      <c r="S574" s="8"/>
      <c r="T574" s="8"/>
    </row>
    <row r="575" spans="2:20" ht="12.75"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403"/>
      <c r="M575" s="8"/>
      <c r="N575" s="403"/>
      <c r="O575" s="8"/>
      <c r="P575" s="403"/>
      <c r="Q575" s="403"/>
      <c r="R575" s="403"/>
      <c r="S575" s="8"/>
      <c r="T575" s="8"/>
    </row>
    <row r="576" spans="2:20" ht="12.75"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403"/>
      <c r="M576" s="8"/>
      <c r="N576" s="403"/>
      <c r="O576" s="8"/>
      <c r="P576" s="403"/>
      <c r="Q576" s="403"/>
      <c r="R576" s="403"/>
      <c r="S576" s="8"/>
      <c r="T576" s="8"/>
    </row>
    <row r="577" spans="2:20" ht="12.75"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403"/>
      <c r="M577" s="8"/>
      <c r="N577" s="403"/>
      <c r="O577" s="8"/>
      <c r="P577" s="403"/>
      <c r="Q577" s="403"/>
      <c r="R577" s="403"/>
      <c r="S577" s="8"/>
      <c r="T577" s="8"/>
    </row>
    <row r="578" spans="2:20" ht="12.75"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403"/>
      <c r="M578" s="8"/>
      <c r="N578" s="403"/>
      <c r="O578" s="8"/>
      <c r="P578" s="403"/>
      <c r="Q578" s="403"/>
      <c r="R578" s="403"/>
      <c r="S578" s="8"/>
      <c r="T578" s="8"/>
    </row>
    <row r="579" spans="2:20" ht="12.75"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403"/>
      <c r="M579" s="8"/>
      <c r="N579" s="403"/>
      <c r="O579" s="8"/>
      <c r="P579" s="403"/>
      <c r="Q579" s="403"/>
      <c r="R579" s="403"/>
      <c r="S579" s="8"/>
      <c r="T579" s="8"/>
    </row>
    <row r="580" spans="2:20" ht="12.75"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403"/>
      <c r="M580" s="8"/>
      <c r="N580" s="403"/>
      <c r="O580" s="8"/>
      <c r="P580" s="403"/>
      <c r="Q580" s="403"/>
      <c r="R580" s="403"/>
      <c r="S580" s="8"/>
      <c r="T580" s="8"/>
    </row>
    <row r="581" spans="2:20" ht="12.75"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403"/>
      <c r="M581" s="8"/>
      <c r="N581" s="403"/>
      <c r="O581" s="8"/>
      <c r="P581" s="403"/>
      <c r="Q581" s="403"/>
      <c r="R581" s="403"/>
      <c r="S581" s="8"/>
      <c r="T581" s="8"/>
    </row>
    <row r="582" spans="2:20" ht="12.75"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403"/>
      <c r="M582" s="8"/>
      <c r="N582" s="403"/>
      <c r="O582" s="8"/>
      <c r="P582" s="403"/>
      <c r="Q582" s="403"/>
      <c r="R582" s="403"/>
      <c r="S582" s="8"/>
      <c r="T582" s="8"/>
    </row>
    <row r="583" spans="2:20" ht="12.75"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403"/>
      <c r="M583" s="8"/>
      <c r="N583" s="403"/>
      <c r="O583" s="8"/>
      <c r="P583" s="403"/>
      <c r="Q583" s="403"/>
      <c r="R583" s="403"/>
      <c r="S583" s="8"/>
      <c r="T583" s="8"/>
    </row>
    <row r="584" spans="2:20" ht="12.75"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403"/>
      <c r="M584" s="8"/>
      <c r="N584" s="403"/>
      <c r="O584" s="8"/>
      <c r="P584" s="403"/>
      <c r="Q584" s="403"/>
      <c r="R584" s="403"/>
      <c r="S584" s="8"/>
      <c r="T584" s="8"/>
    </row>
    <row r="585" spans="2:20" ht="12.75"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403"/>
      <c r="M585" s="8"/>
      <c r="N585" s="403"/>
      <c r="O585" s="8"/>
      <c r="P585" s="403"/>
      <c r="Q585" s="403"/>
      <c r="R585" s="403"/>
      <c r="S585" s="8"/>
      <c r="T585" s="8"/>
    </row>
    <row r="586" spans="2:20" ht="12.75"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403"/>
      <c r="M586" s="8"/>
      <c r="N586" s="403"/>
      <c r="O586" s="8"/>
      <c r="P586" s="403"/>
      <c r="Q586" s="403"/>
      <c r="R586" s="403"/>
      <c r="S586" s="8"/>
      <c r="T586" s="8"/>
    </row>
    <row r="587" spans="2:20" ht="12.75"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403"/>
      <c r="M587" s="8"/>
      <c r="N587" s="403"/>
      <c r="O587" s="8"/>
      <c r="P587" s="403"/>
      <c r="Q587" s="403"/>
      <c r="R587" s="403"/>
      <c r="S587" s="8"/>
      <c r="T587" s="8"/>
    </row>
    <row r="588" spans="2:20" ht="12.75"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403"/>
      <c r="M588" s="8"/>
      <c r="N588" s="403"/>
      <c r="O588" s="8"/>
      <c r="P588" s="403"/>
      <c r="Q588" s="403"/>
      <c r="R588" s="403"/>
      <c r="S588" s="8"/>
      <c r="T588" s="8"/>
    </row>
    <row r="589" spans="2:20" ht="12.75"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403"/>
      <c r="M589" s="8"/>
      <c r="N589" s="403"/>
      <c r="O589" s="8"/>
      <c r="P589" s="403"/>
      <c r="Q589" s="403"/>
      <c r="R589" s="403"/>
      <c r="S589" s="8"/>
      <c r="T589" s="8"/>
    </row>
    <row r="590" spans="2:20" ht="12.75"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403"/>
      <c r="M590" s="8"/>
      <c r="N590" s="403"/>
      <c r="O590" s="8"/>
      <c r="P590" s="403"/>
      <c r="Q590" s="403"/>
      <c r="R590" s="403"/>
      <c r="S590" s="8"/>
      <c r="T590" s="8"/>
    </row>
    <row r="591" spans="2:20" ht="12.75"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403"/>
      <c r="M591" s="8"/>
      <c r="N591" s="403"/>
      <c r="O591" s="8"/>
      <c r="P591" s="403"/>
      <c r="Q591" s="403"/>
      <c r="R591" s="403"/>
      <c r="S591" s="8"/>
      <c r="T591" s="8"/>
    </row>
    <row r="592" spans="2:20" ht="12.75"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403"/>
      <c r="M592" s="8"/>
      <c r="N592" s="403"/>
      <c r="O592" s="8"/>
      <c r="P592" s="403"/>
      <c r="Q592" s="403"/>
      <c r="R592" s="403"/>
      <c r="S592" s="8"/>
      <c r="T592" s="8"/>
    </row>
    <row r="593" spans="2:20" ht="12.75"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403"/>
      <c r="M593" s="8"/>
      <c r="N593" s="403"/>
      <c r="O593" s="8"/>
      <c r="P593" s="403"/>
      <c r="Q593" s="403"/>
      <c r="R593" s="403"/>
      <c r="S593" s="8"/>
      <c r="T593" s="8"/>
    </row>
    <row r="594" spans="2:20" ht="12.75"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403"/>
      <c r="M594" s="8"/>
      <c r="N594" s="403"/>
      <c r="O594" s="8"/>
      <c r="P594" s="403"/>
      <c r="Q594" s="403"/>
      <c r="R594" s="403"/>
      <c r="S594" s="8"/>
      <c r="T594" s="8"/>
    </row>
    <row r="595" spans="2:20" ht="12.75"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403"/>
      <c r="M595" s="8"/>
      <c r="N595" s="403"/>
      <c r="O595" s="8"/>
      <c r="P595" s="403"/>
      <c r="Q595" s="403"/>
      <c r="R595" s="403"/>
      <c r="S595" s="8"/>
      <c r="T595" s="8"/>
    </row>
    <row r="596" spans="2:20" ht="12.75"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403"/>
      <c r="M596" s="8"/>
      <c r="N596" s="403"/>
      <c r="O596" s="8"/>
      <c r="P596" s="403"/>
      <c r="Q596" s="403"/>
      <c r="R596" s="403"/>
      <c r="S596" s="8"/>
      <c r="T596" s="8"/>
    </row>
    <row r="597" spans="2:20" ht="12.75"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403"/>
      <c r="M597" s="8"/>
      <c r="N597" s="403"/>
      <c r="O597" s="8"/>
      <c r="P597" s="403"/>
      <c r="Q597" s="403"/>
      <c r="R597" s="403"/>
      <c r="S597" s="8"/>
      <c r="T597" s="8"/>
    </row>
    <row r="598" spans="2:20" ht="12.75"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403"/>
      <c r="M598" s="8"/>
      <c r="N598" s="403"/>
      <c r="O598" s="8"/>
      <c r="P598" s="403"/>
      <c r="Q598" s="403"/>
      <c r="R598" s="403"/>
      <c r="S598" s="8"/>
      <c r="T598" s="8"/>
    </row>
    <row r="599" spans="2:20" ht="12.75"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403"/>
      <c r="M599" s="8"/>
      <c r="N599" s="403"/>
      <c r="O599" s="8"/>
      <c r="P599" s="403"/>
      <c r="Q599" s="403"/>
      <c r="R599" s="403"/>
      <c r="S599" s="8"/>
      <c r="T599" s="8"/>
    </row>
    <row r="600" spans="2:20" ht="12.75"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403"/>
      <c r="M600" s="8"/>
      <c r="N600" s="403"/>
      <c r="O600" s="8"/>
      <c r="P600" s="403"/>
      <c r="Q600" s="403"/>
      <c r="R600" s="403"/>
      <c r="S600" s="8"/>
      <c r="T600" s="8"/>
    </row>
    <row r="601" spans="2:20" ht="12.75"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403"/>
      <c r="M601" s="8"/>
      <c r="N601" s="403"/>
      <c r="O601" s="8"/>
      <c r="P601" s="403"/>
      <c r="Q601" s="403"/>
      <c r="R601" s="403"/>
      <c r="S601" s="8"/>
      <c r="T601" s="8"/>
    </row>
    <row r="602" spans="2:20" ht="12.75"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403"/>
      <c r="M602" s="8"/>
      <c r="N602" s="403"/>
      <c r="O602" s="8"/>
      <c r="P602" s="403"/>
      <c r="Q602" s="403"/>
      <c r="R602" s="403"/>
      <c r="S602" s="8"/>
      <c r="T602" s="8"/>
    </row>
    <row r="603" spans="2:20" ht="12.75"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403"/>
      <c r="M603" s="8"/>
      <c r="N603" s="403"/>
      <c r="O603" s="8"/>
      <c r="P603" s="403"/>
      <c r="Q603" s="403"/>
      <c r="R603" s="403"/>
      <c r="S603" s="8"/>
      <c r="T603" s="8"/>
    </row>
    <row r="604" spans="2:20" ht="12.75"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403"/>
      <c r="M604" s="8"/>
      <c r="N604" s="403"/>
      <c r="O604" s="8"/>
      <c r="P604" s="403"/>
      <c r="Q604" s="403"/>
      <c r="R604" s="403"/>
      <c r="S604" s="8"/>
      <c r="T604" s="8"/>
    </row>
    <row r="605" spans="2:20" ht="12.75"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403"/>
      <c r="M605" s="8"/>
      <c r="N605" s="403"/>
      <c r="O605" s="8"/>
      <c r="P605" s="403"/>
      <c r="Q605" s="403"/>
      <c r="R605" s="403"/>
      <c r="S605" s="8"/>
      <c r="T605" s="8"/>
    </row>
    <row r="606" spans="2:20" ht="12.75"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403"/>
      <c r="M606" s="8"/>
      <c r="N606" s="403"/>
      <c r="O606" s="8"/>
      <c r="P606" s="403"/>
      <c r="Q606" s="403"/>
      <c r="R606" s="403"/>
      <c r="S606" s="8"/>
      <c r="T606" s="8"/>
    </row>
    <row r="607" spans="2:20" ht="12.75"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403"/>
      <c r="M607" s="8"/>
      <c r="N607" s="403"/>
      <c r="O607" s="8"/>
      <c r="P607" s="403"/>
      <c r="Q607" s="403"/>
      <c r="R607" s="403"/>
      <c r="S607" s="8"/>
      <c r="T607" s="8"/>
    </row>
    <row r="608" spans="2:20" ht="12.75"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403"/>
      <c r="M608" s="8"/>
      <c r="N608" s="403"/>
      <c r="O608" s="8"/>
      <c r="P608" s="403"/>
      <c r="Q608" s="403"/>
      <c r="R608" s="403"/>
      <c r="S608" s="8"/>
      <c r="T608" s="8"/>
    </row>
    <row r="609" spans="2:20" ht="12.75"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403"/>
      <c r="M609" s="8"/>
      <c r="N609" s="403"/>
      <c r="O609" s="8"/>
      <c r="P609" s="403"/>
      <c r="Q609" s="403"/>
      <c r="R609" s="403"/>
      <c r="S609" s="8"/>
      <c r="T609" s="8"/>
    </row>
  </sheetData>
  <sheetProtection/>
  <mergeCells count="52">
    <mergeCell ref="A5:N5"/>
    <mergeCell ref="N10:N12"/>
    <mergeCell ref="M47:M48"/>
    <mergeCell ref="I30:K30"/>
    <mergeCell ref="I38:K38"/>
    <mergeCell ref="R170:R171"/>
    <mergeCell ref="I24:K24"/>
    <mergeCell ref="A3:S3"/>
    <mergeCell ref="T170:T171"/>
    <mergeCell ref="T47:T48"/>
    <mergeCell ref="A44:O44"/>
    <mergeCell ref="I35:K35"/>
    <mergeCell ref="I39:K39"/>
    <mergeCell ref="N47:N48"/>
    <mergeCell ref="J95:K95"/>
    <mergeCell ref="J78:K78"/>
    <mergeCell ref="A42:O42"/>
    <mergeCell ref="L170:L171"/>
    <mergeCell ref="S47:S48"/>
    <mergeCell ref="J132:K132"/>
    <mergeCell ref="R47:R48"/>
    <mergeCell ref="Q47:Q48"/>
    <mergeCell ref="I155:K155"/>
    <mergeCell ref="J94:K94"/>
    <mergeCell ref="P47:P48"/>
    <mergeCell ref="S170:S171"/>
    <mergeCell ref="A1:S2"/>
    <mergeCell ref="M170:M171"/>
    <mergeCell ref="N170:N171"/>
    <mergeCell ref="O170:O171"/>
    <mergeCell ref="P170:P171"/>
    <mergeCell ref="L47:L48"/>
    <mergeCell ref="Q170:Q171"/>
    <mergeCell ref="J154:K154"/>
    <mergeCell ref="J74:K74"/>
    <mergeCell ref="J88:K88"/>
    <mergeCell ref="A180:J180"/>
    <mergeCell ref="J149:K149"/>
    <mergeCell ref="J130:K130"/>
    <mergeCell ref="J87:K87"/>
    <mergeCell ref="J113:K113"/>
    <mergeCell ref="J131:K131"/>
    <mergeCell ref="A6:M6"/>
    <mergeCell ref="O47:O48"/>
    <mergeCell ref="A179:J179"/>
    <mergeCell ref="J85:K85"/>
    <mergeCell ref="A45:O45"/>
    <mergeCell ref="A12:H13"/>
    <mergeCell ref="A8:K8"/>
    <mergeCell ref="I40:K40"/>
    <mergeCell ref="L10:L12"/>
    <mergeCell ref="J79:K79"/>
  </mergeCells>
  <printOptions/>
  <pageMargins left="0.7480314960629921" right="0.7480314960629921" top="0.5905511811023623" bottom="0.1968503937007874" header="0.5118110236220472" footer="0.5118110236220472"/>
  <pageSetup fitToWidth="0" horizontalDpi="600" verticalDpi="600" orientation="portrait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780"/>
  <sheetViews>
    <sheetView tabSelected="1" zoomScale="80" zoomScaleNormal="80" workbookViewId="0" topLeftCell="A706">
      <selection activeCell="A727" sqref="A727"/>
    </sheetView>
  </sheetViews>
  <sheetFormatPr defaultColWidth="9.140625" defaultRowHeight="12.75"/>
  <cols>
    <col min="1" max="1" width="9.7109375" style="0" customWidth="1"/>
    <col min="2" max="2" width="2.8515625" style="0" customWidth="1"/>
    <col min="3" max="4" width="2.57421875" style="0" customWidth="1"/>
    <col min="5" max="6" width="2.8515625" style="0" customWidth="1"/>
    <col min="7" max="7" width="2.57421875" style="0" customWidth="1"/>
    <col min="8" max="8" width="2.7109375" style="0" customWidth="1"/>
    <col min="9" max="9" width="2.8515625" style="0" customWidth="1"/>
    <col min="10" max="10" width="5.8515625" style="0" customWidth="1"/>
    <col min="11" max="11" width="21.8515625" style="2" customWidth="1"/>
    <col min="12" max="12" width="63.7109375" style="0" customWidth="1"/>
    <col min="13" max="13" width="16.140625" style="411" customWidth="1"/>
    <col min="14" max="14" width="15.421875" style="411" customWidth="1"/>
    <col min="15" max="15" width="0.13671875" style="411" hidden="1" customWidth="1"/>
    <col min="16" max="16" width="16.140625" style="411" hidden="1" customWidth="1"/>
    <col min="17" max="17" width="14.28125" style="411" hidden="1" customWidth="1"/>
    <col min="18" max="19" width="18.421875" style="411" customWidth="1"/>
    <col min="20" max="21" width="16.7109375" style="411" customWidth="1"/>
    <col min="22" max="22" width="9.140625" style="174" customWidth="1"/>
    <col min="23" max="23" width="7.7109375" style="174" customWidth="1"/>
    <col min="24" max="24" width="18.28125" style="174" customWidth="1"/>
    <col min="25" max="25" width="16.8515625" style="174" customWidth="1"/>
    <col min="26" max="26" width="10.8515625" style="174" customWidth="1"/>
    <col min="27" max="27" width="11.57421875" style="174" customWidth="1"/>
    <col min="28" max="28" width="19.00390625" style="174" customWidth="1"/>
    <col min="29" max="29" width="6.00390625" style="67" customWidth="1"/>
    <col min="30" max="30" width="12.57421875" style="67" customWidth="1"/>
    <col min="31" max="31" width="7.7109375" style="67" customWidth="1"/>
    <col min="32" max="36" width="9.140625" style="67" customWidth="1"/>
  </cols>
  <sheetData>
    <row r="1" spans="1:36" s="60" customFormat="1" ht="15" customHeight="1">
      <c r="A1" s="610"/>
      <c r="B1" s="610"/>
      <c r="C1" s="610"/>
      <c r="D1" s="610"/>
      <c r="E1" s="610"/>
      <c r="F1" s="610"/>
      <c r="G1" s="610"/>
      <c r="H1" s="610"/>
      <c r="I1" s="610"/>
      <c r="J1" s="610"/>
      <c r="K1" s="610"/>
      <c r="L1" s="610"/>
      <c r="M1" s="408"/>
      <c r="N1" s="408"/>
      <c r="O1" s="408"/>
      <c r="P1" s="408"/>
      <c r="Q1" s="408"/>
      <c r="R1" s="408"/>
      <c r="S1" s="408"/>
      <c r="T1" s="408"/>
      <c r="U1" s="408"/>
      <c r="V1" s="78"/>
      <c r="W1" s="78"/>
      <c r="X1" s="78"/>
      <c r="Y1" s="78"/>
      <c r="Z1" s="78"/>
      <c r="AA1" s="78"/>
      <c r="AB1" s="78"/>
      <c r="AC1" s="75"/>
      <c r="AD1" s="75"/>
      <c r="AE1" s="75"/>
      <c r="AF1" s="75"/>
      <c r="AG1" s="75"/>
      <c r="AH1" s="75"/>
      <c r="AI1" s="75"/>
      <c r="AJ1" s="75"/>
    </row>
    <row r="2" spans="1:36" s="44" customFormat="1" ht="18">
      <c r="A2" s="601" t="s">
        <v>493</v>
      </c>
      <c r="B2" s="601"/>
      <c r="C2" s="601"/>
      <c r="D2" s="601"/>
      <c r="E2" s="601"/>
      <c r="F2" s="601"/>
      <c r="G2" s="601"/>
      <c r="H2" s="601"/>
      <c r="I2" s="601"/>
      <c r="J2" s="601"/>
      <c r="K2" s="601"/>
      <c r="L2" s="601"/>
      <c r="M2" s="409"/>
      <c r="N2" s="409"/>
      <c r="O2" s="409"/>
      <c r="P2" s="409"/>
      <c r="Q2" s="409"/>
      <c r="R2" s="409"/>
      <c r="S2" s="409"/>
      <c r="T2" s="409"/>
      <c r="U2" s="409"/>
      <c r="V2" s="78"/>
      <c r="W2" s="78"/>
      <c r="X2" s="78"/>
      <c r="Y2" s="78"/>
      <c r="Z2" s="78"/>
      <c r="AA2" s="78"/>
      <c r="AB2" s="78"/>
      <c r="AC2" s="75"/>
      <c r="AD2" s="75"/>
      <c r="AE2" s="75"/>
      <c r="AF2" s="75"/>
      <c r="AG2" s="75"/>
      <c r="AH2" s="75"/>
      <c r="AI2" s="75"/>
      <c r="AJ2" s="75"/>
    </row>
    <row r="3" spans="1:36" s="44" customFormat="1" ht="15" customHeight="1">
      <c r="A3" s="603" t="s">
        <v>93</v>
      </c>
      <c r="B3" s="603"/>
      <c r="C3" s="603"/>
      <c r="D3" s="603"/>
      <c r="E3" s="603"/>
      <c r="F3" s="603"/>
      <c r="G3" s="603"/>
      <c r="H3" s="603"/>
      <c r="I3" s="603"/>
      <c r="J3" s="603"/>
      <c r="K3" s="603"/>
      <c r="L3" s="603"/>
      <c r="M3" s="409"/>
      <c r="N3" s="409"/>
      <c r="O3" s="409"/>
      <c r="P3" s="409"/>
      <c r="Q3" s="409"/>
      <c r="R3" s="409"/>
      <c r="S3" s="409"/>
      <c r="T3" s="409"/>
      <c r="U3" s="409"/>
      <c r="V3" s="78"/>
      <c r="W3" s="78"/>
      <c r="X3" s="78"/>
      <c r="Y3" s="78"/>
      <c r="Z3" s="78"/>
      <c r="AA3" s="78"/>
      <c r="AB3" s="78"/>
      <c r="AC3" s="75"/>
      <c r="AD3" s="75"/>
      <c r="AE3" s="75"/>
      <c r="AF3" s="75"/>
      <c r="AG3" s="75"/>
      <c r="AH3" s="75"/>
      <c r="AI3" s="75"/>
      <c r="AJ3" s="75"/>
    </row>
    <row r="4" spans="1:36" s="64" customFormat="1" ht="15">
      <c r="A4" s="477" t="s">
        <v>701</v>
      </c>
      <c r="B4" s="477"/>
      <c r="C4" s="477"/>
      <c r="D4" s="477"/>
      <c r="E4" s="477"/>
      <c r="F4" s="477"/>
      <c r="G4" s="477"/>
      <c r="H4" s="477"/>
      <c r="I4" s="477"/>
      <c r="J4" s="477"/>
      <c r="K4" s="477"/>
      <c r="L4" s="477"/>
      <c r="M4" s="410"/>
      <c r="N4" s="410"/>
      <c r="O4" s="410"/>
      <c r="P4" s="410"/>
      <c r="Q4" s="410"/>
      <c r="R4" s="410"/>
      <c r="S4" s="410"/>
      <c r="T4" s="410"/>
      <c r="U4" s="410"/>
      <c r="V4" s="258"/>
      <c r="W4" s="258"/>
      <c r="X4" s="258"/>
      <c r="Y4" s="258"/>
      <c r="Z4" s="258"/>
      <c r="AA4" s="258"/>
      <c r="AB4" s="258"/>
      <c r="AC4" s="94"/>
      <c r="AD4" s="94"/>
      <c r="AE4" s="94"/>
      <c r="AF4" s="94"/>
      <c r="AG4" s="94"/>
      <c r="AH4" s="94"/>
      <c r="AI4" s="94"/>
      <c r="AJ4" s="94"/>
    </row>
    <row r="5" spans="1:36" s="44" customFormat="1" ht="1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43"/>
      <c r="M5" s="411"/>
      <c r="N5" s="411"/>
      <c r="O5" s="411"/>
      <c r="P5" s="411"/>
      <c r="Q5" s="411"/>
      <c r="R5" s="411"/>
      <c r="S5" s="411"/>
      <c r="T5" s="411"/>
      <c r="U5" s="411"/>
      <c r="V5" s="78"/>
      <c r="W5" s="78"/>
      <c r="X5" s="78"/>
      <c r="Y5" s="78"/>
      <c r="Z5" s="78"/>
      <c r="AA5" s="78"/>
      <c r="AB5" s="78"/>
      <c r="AC5" s="75"/>
      <c r="AD5" s="75"/>
      <c r="AE5" s="75"/>
      <c r="AF5" s="75"/>
      <c r="AG5" s="75"/>
      <c r="AH5" s="75"/>
      <c r="AI5" s="75"/>
      <c r="AJ5" s="75"/>
    </row>
    <row r="6" spans="1:36" s="44" customFormat="1" ht="12.75" customHeight="1">
      <c r="A6" s="92" t="s">
        <v>16</v>
      </c>
      <c r="B6" s="146"/>
      <c r="C6" s="146" t="s">
        <v>17</v>
      </c>
      <c r="D6" s="146"/>
      <c r="E6" s="146"/>
      <c r="F6" s="146"/>
      <c r="G6" s="146"/>
      <c r="H6" s="146"/>
      <c r="I6" s="146"/>
      <c r="J6" s="146" t="s">
        <v>18</v>
      </c>
      <c r="K6" s="146"/>
      <c r="L6" s="146"/>
      <c r="M6" s="607" t="s">
        <v>688</v>
      </c>
      <c r="N6" s="598" t="s">
        <v>655</v>
      </c>
      <c r="O6" s="604">
        <v>2024</v>
      </c>
      <c r="P6" s="598" t="s">
        <v>662</v>
      </c>
      <c r="Q6" s="604" t="s">
        <v>667</v>
      </c>
      <c r="R6" s="598" t="s">
        <v>671</v>
      </c>
      <c r="S6" s="604" t="s">
        <v>685</v>
      </c>
      <c r="T6" s="598" t="s">
        <v>699</v>
      </c>
      <c r="U6" s="598" t="s">
        <v>700</v>
      </c>
      <c r="V6" s="78"/>
      <c r="W6" s="78"/>
      <c r="X6" s="78"/>
      <c r="Y6" s="78"/>
      <c r="Z6" s="78"/>
      <c r="AA6" s="78"/>
      <c r="AB6" s="78"/>
      <c r="AC6" s="75"/>
      <c r="AD6" s="75"/>
      <c r="AE6" s="75"/>
      <c r="AF6" s="75"/>
      <c r="AG6" s="75"/>
      <c r="AH6" s="75"/>
      <c r="AI6" s="75"/>
      <c r="AJ6" s="75"/>
    </row>
    <row r="7" spans="1:36" s="44" customFormat="1" ht="15" customHeight="1">
      <c r="A7" s="271" t="s">
        <v>19</v>
      </c>
      <c r="B7" s="77"/>
      <c r="C7" s="77" t="s">
        <v>20</v>
      </c>
      <c r="D7" s="77"/>
      <c r="E7" s="77"/>
      <c r="F7" s="77"/>
      <c r="G7" s="77"/>
      <c r="H7" s="77"/>
      <c r="I7" s="77"/>
      <c r="J7" s="77"/>
      <c r="K7" s="77"/>
      <c r="L7" s="77"/>
      <c r="M7" s="608"/>
      <c r="N7" s="599"/>
      <c r="O7" s="605"/>
      <c r="P7" s="599"/>
      <c r="Q7" s="605"/>
      <c r="R7" s="599"/>
      <c r="S7" s="605"/>
      <c r="T7" s="599"/>
      <c r="U7" s="599"/>
      <c r="V7" s="78"/>
      <c r="W7" s="78"/>
      <c r="X7" s="78"/>
      <c r="Y7" s="78"/>
      <c r="Z7" s="78"/>
      <c r="AA7" s="78"/>
      <c r="AB7" s="78"/>
      <c r="AC7" s="75"/>
      <c r="AD7" s="75"/>
      <c r="AE7" s="75"/>
      <c r="AF7" s="75"/>
      <c r="AG7" s="75"/>
      <c r="AH7" s="75"/>
      <c r="AI7" s="75"/>
      <c r="AJ7" s="75"/>
    </row>
    <row r="8" spans="1:36" s="46" customFormat="1" ht="15" customHeight="1">
      <c r="A8" s="271" t="s">
        <v>21</v>
      </c>
      <c r="B8" s="77"/>
      <c r="C8" s="602" t="s">
        <v>154</v>
      </c>
      <c r="D8" s="602"/>
      <c r="E8" s="602"/>
      <c r="F8" s="602"/>
      <c r="G8" s="602"/>
      <c r="H8" s="602"/>
      <c r="I8" s="602"/>
      <c r="J8" s="611" t="s">
        <v>38</v>
      </c>
      <c r="K8" s="77"/>
      <c r="L8" s="77" t="s">
        <v>39</v>
      </c>
      <c r="M8" s="608"/>
      <c r="N8" s="599"/>
      <c r="O8" s="605"/>
      <c r="P8" s="599"/>
      <c r="Q8" s="605"/>
      <c r="R8" s="599"/>
      <c r="S8" s="605"/>
      <c r="T8" s="599"/>
      <c r="U8" s="599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</row>
    <row r="9" spans="1:36" s="44" customFormat="1" ht="18" customHeight="1">
      <c r="A9" s="152" t="s">
        <v>22</v>
      </c>
      <c r="B9" s="147"/>
      <c r="C9" s="147"/>
      <c r="D9" s="147"/>
      <c r="E9" s="147"/>
      <c r="F9" s="147"/>
      <c r="G9" s="147"/>
      <c r="H9" s="147"/>
      <c r="I9" s="147"/>
      <c r="J9" s="612"/>
      <c r="K9" s="147" t="s">
        <v>23</v>
      </c>
      <c r="L9" s="147" t="s">
        <v>40</v>
      </c>
      <c r="M9" s="609"/>
      <c r="N9" s="600"/>
      <c r="O9" s="606"/>
      <c r="P9" s="600"/>
      <c r="Q9" s="606"/>
      <c r="R9" s="600"/>
      <c r="S9" s="606"/>
      <c r="T9" s="600"/>
      <c r="U9" s="600"/>
      <c r="V9" s="78"/>
      <c r="W9" s="78"/>
      <c r="X9" s="78"/>
      <c r="Y9" s="78"/>
      <c r="Z9" s="78"/>
      <c r="AA9" s="78"/>
      <c r="AB9" s="78"/>
      <c r="AC9" s="75"/>
      <c r="AD9" s="75"/>
      <c r="AE9" s="75"/>
      <c r="AF9" s="75"/>
      <c r="AG9" s="75"/>
      <c r="AH9" s="75"/>
      <c r="AI9" s="75"/>
      <c r="AJ9" s="75"/>
    </row>
    <row r="10" spans="1:36" s="193" customFormat="1" ht="15">
      <c r="A10" s="33"/>
      <c r="B10" s="33">
        <v>1</v>
      </c>
      <c r="C10" s="33">
        <v>2</v>
      </c>
      <c r="D10" s="33">
        <v>3</v>
      </c>
      <c r="E10" s="33">
        <v>4</v>
      </c>
      <c r="F10" s="33">
        <v>5</v>
      </c>
      <c r="G10" s="33">
        <v>6</v>
      </c>
      <c r="H10" s="33">
        <v>7</v>
      </c>
      <c r="I10" s="33">
        <v>8</v>
      </c>
      <c r="J10" s="33"/>
      <c r="K10" s="33" t="s">
        <v>24</v>
      </c>
      <c r="L10" s="192"/>
      <c r="M10" s="511">
        <v>1</v>
      </c>
      <c r="N10" s="511">
        <v>2</v>
      </c>
      <c r="O10" s="511"/>
      <c r="P10" s="511">
        <v>3</v>
      </c>
      <c r="Q10" s="511">
        <v>4</v>
      </c>
      <c r="R10" s="511">
        <v>3</v>
      </c>
      <c r="S10" s="511">
        <v>4</v>
      </c>
      <c r="T10" s="511">
        <v>5</v>
      </c>
      <c r="U10" s="511">
        <v>6</v>
      </c>
      <c r="V10" s="78"/>
      <c r="W10" s="78"/>
      <c r="X10" s="78"/>
      <c r="Y10" s="78"/>
      <c r="Z10" s="78"/>
      <c r="AA10" s="78"/>
      <c r="AB10" s="78"/>
      <c r="AC10" s="75"/>
      <c r="AD10" s="75"/>
      <c r="AE10" s="75"/>
      <c r="AF10" s="75"/>
      <c r="AG10" s="75"/>
      <c r="AH10" s="75"/>
      <c r="AI10" s="75"/>
      <c r="AJ10" s="75"/>
    </row>
    <row r="11" spans="1:36" s="128" customFormat="1" ht="15.75">
      <c r="A11" s="125"/>
      <c r="B11" s="125"/>
      <c r="C11" s="125"/>
      <c r="D11" s="125"/>
      <c r="E11" s="125"/>
      <c r="F11" s="125"/>
      <c r="G11" s="125"/>
      <c r="H11" s="125"/>
      <c r="I11" s="125"/>
      <c r="J11" s="125"/>
      <c r="K11" s="198" t="s">
        <v>84</v>
      </c>
      <c r="L11" s="199" t="s">
        <v>83</v>
      </c>
      <c r="M11" s="412"/>
      <c r="N11" s="412"/>
      <c r="O11" s="412"/>
      <c r="P11" s="412"/>
      <c r="Q11" s="412"/>
      <c r="R11" s="412"/>
      <c r="S11" s="412"/>
      <c r="T11" s="412"/>
      <c r="U11" s="412"/>
      <c r="V11" s="78"/>
      <c r="W11" s="78"/>
      <c r="X11" s="78"/>
      <c r="Y11" s="78"/>
      <c r="Z11" s="78"/>
      <c r="AA11" s="78"/>
      <c r="AB11" s="78"/>
      <c r="AC11" s="75"/>
      <c r="AD11" s="75"/>
      <c r="AE11" s="75"/>
      <c r="AF11" s="75"/>
      <c r="AG11" s="75"/>
      <c r="AH11" s="75"/>
      <c r="AI11" s="75"/>
      <c r="AJ11" s="75"/>
    </row>
    <row r="12" spans="1:36" s="124" customFormat="1" ht="15">
      <c r="A12" s="189"/>
      <c r="B12" s="189"/>
      <c r="C12" s="189"/>
      <c r="D12" s="189"/>
      <c r="E12" s="189"/>
      <c r="F12" s="189"/>
      <c r="G12" s="189"/>
      <c r="H12" s="189"/>
      <c r="I12" s="189"/>
      <c r="J12" s="189"/>
      <c r="K12" s="136" t="s">
        <v>52</v>
      </c>
      <c r="L12" s="191" t="s">
        <v>53</v>
      </c>
      <c r="M12" s="413"/>
      <c r="N12" s="413"/>
      <c r="O12" s="413"/>
      <c r="P12" s="413"/>
      <c r="Q12" s="413"/>
      <c r="R12" s="413"/>
      <c r="S12" s="413"/>
      <c r="T12" s="413"/>
      <c r="U12" s="413"/>
      <c r="V12" s="78"/>
      <c r="W12" s="78"/>
      <c r="X12" s="78"/>
      <c r="Y12" s="78"/>
      <c r="Z12" s="78"/>
      <c r="AA12" s="78"/>
      <c r="AB12" s="78"/>
      <c r="AC12" s="75"/>
      <c r="AD12" s="75"/>
      <c r="AE12" s="75"/>
      <c r="AF12" s="75"/>
      <c r="AG12" s="75"/>
      <c r="AH12" s="75"/>
      <c r="AI12" s="75"/>
      <c r="AJ12" s="75"/>
    </row>
    <row r="13" spans="1:36" s="44" customFormat="1" ht="15">
      <c r="A13" s="16"/>
      <c r="B13" s="16"/>
      <c r="C13" s="16"/>
      <c r="D13" s="16"/>
      <c r="E13" s="16"/>
      <c r="F13" s="16"/>
      <c r="G13" s="16"/>
      <c r="H13" s="16"/>
      <c r="I13" s="16"/>
      <c r="J13" s="16">
        <v>100</v>
      </c>
      <c r="K13" s="16" t="s">
        <v>54</v>
      </c>
      <c r="L13" s="43" t="s">
        <v>37</v>
      </c>
      <c r="M13" s="411"/>
      <c r="N13" s="411"/>
      <c r="O13" s="411"/>
      <c r="P13" s="411"/>
      <c r="Q13" s="411"/>
      <c r="R13" s="411"/>
      <c r="S13" s="411"/>
      <c r="T13" s="411"/>
      <c r="U13" s="411"/>
      <c r="V13" s="78"/>
      <c r="W13" s="78"/>
      <c r="X13" s="78"/>
      <c r="Y13" s="78"/>
      <c r="Z13" s="78"/>
      <c r="AA13" s="78"/>
      <c r="AB13" s="78"/>
      <c r="AC13" s="75"/>
      <c r="AD13" s="75"/>
      <c r="AE13" s="75"/>
      <c r="AF13" s="75"/>
      <c r="AG13" s="75"/>
      <c r="AH13" s="75"/>
      <c r="AI13" s="75"/>
      <c r="AJ13" s="75"/>
    </row>
    <row r="14" spans="1:36" s="128" customFormat="1" ht="15">
      <c r="A14" s="125"/>
      <c r="B14" s="125"/>
      <c r="C14" s="125"/>
      <c r="D14" s="125"/>
      <c r="E14" s="125"/>
      <c r="F14" s="125"/>
      <c r="G14" s="125"/>
      <c r="H14" s="125"/>
      <c r="I14" s="125"/>
      <c r="J14" s="125"/>
      <c r="K14" s="200" t="s">
        <v>44</v>
      </c>
      <c r="L14" s="201" t="s">
        <v>42</v>
      </c>
      <c r="M14" s="412"/>
      <c r="N14" s="412"/>
      <c r="O14" s="412"/>
      <c r="P14" s="412"/>
      <c r="Q14" s="412"/>
      <c r="R14" s="412"/>
      <c r="S14" s="412"/>
      <c r="T14" s="412"/>
      <c r="U14" s="412"/>
      <c r="V14" s="78"/>
      <c r="W14" s="78"/>
      <c r="X14" s="78"/>
      <c r="Y14" s="78"/>
      <c r="Z14" s="78"/>
      <c r="AA14" s="78"/>
      <c r="AB14" s="78"/>
      <c r="AC14" s="75"/>
      <c r="AD14" s="75"/>
      <c r="AE14" s="75"/>
      <c r="AF14" s="75"/>
      <c r="AG14" s="75"/>
      <c r="AH14" s="75"/>
      <c r="AI14" s="75"/>
      <c r="AJ14" s="75"/>
    </row>
    <row r="15" spans="1:36" s="128" customFormat="1" ht="15.75" thickBot="1">
      <c r="A15" s="125"/>
      <c r="B15" s="125"/>
      <c r="C15" s="125"/>
      <c r="D15" s="125"/>
      <c r="E15" s="125"/>
      <c r="F15" s="125"/>
      <c r="G15" s="125"/>
      <c r="H15" s="125"/>
      <c r="I15" s="125"/>
      <c r="J15" s="125"/>
      <c r="K15" s="200" t="s">
        <v>45</v>
      </c>
      <c r="L15" s="201" t="s">
        <v>43</v>
      </c>
      <c r="M15" s="412"/>
      <c r="N15" s="412"/>
      <c r="O15" s="412"/>
      <c r="P15" s="412"/>
      <c r="Q15" s="412"/>
      <c r="R15" s="412"/>
      <c r="S15" s="412"/>
      <c r="T15" s="412"/>
      <c r="U15" s="412"/>
      <c r="V15" s="78"/>
      <c r="W15" s="78"/>
      <c r="X15" s="78"/>
      <c r="Y15" s="78"/>
      <c r="Z15" s="78"/>
      <c r="AA15" s="78"/>
      <c r="AB15" s="78"/>
      <c r="AC15" s="75"/>
      <c r="AD15" s="75"/>
      <c r="AE15" s="75"/>
      <c r="AF15" s="75"/>
      <c r="AG15" s="75"/>
      <c r="AH15" s="75"/>
      <c r="AI15" s="75"/>
      <c r="AJ15" s="75"/>
    </row>
    <row r="16" spans="1:36" s="197" customFormat="1" ht="16.5" thickBot="1">
      <c r="A16" s="202" t="s">
        <v>157</v>
      </c>
      <c r="B16" s="194"/>
      <c r="C16" s="194"/>
      <c r="D16" s="194"/>
      <c r="E16" s="194"/>
      <c r="F16" s="194"/>
      <c r="G16" s="194"/>
      <c r="H16" s="194"/>
      <c r="I16" s="194"/>
      <c r="J16" s="194"/>
      <c r="K16" s="195" t="s">
        <v>44</v>
      </c>
      <c r="L16" s="196" t="s">
        <v>253</v>
      </c>
      <c r="M16" s="414"/>
      <c r="N16" s="414"/>
      <c r="O16" s="414"/>
      <c r="P16" s="414"/>
      <c r="Q16" s="414"/>
      <c r="R16" s="414"/>
      <c r="S16" s="414"/>
      <c r="T16" s="414"/>
      <c r="U16" s="414"/>
      <c r="V16" s="78"/>
      <c r="W16" s="78"/>
      <c r="X16" s="78"/>
      <c r="Y16" s="78"/>
      <c r="Z16" s="78"/>
      <c r="AA16" s="78"/>
      <c r="AB16" s="78"/>
      <c r="AC16" s="75"/>
      <c r="AD16" s="75"/>
      <c r="AE16" s="75"/>
      <c r="AF16" s="75"/>
      <c r="AG16" s="75"/>
      <c r="AH16" s="75"/>
      <c r="AI16" s="75"/>
      <c r="AJ16" s="75"/>
    </row>
    <row r="17" spans="1:36" s="197" customFormat="1" ht="15">
      <c r="A17" s="194"/>
      <c r="B17" s="194"/>
      <c r="C17" s="194"/>
      <c r="D17" s="194"/>
      <c r="E17" s="194"/>
      <c r="F17" s="194"/>
      <c r="G17" s="194"/>
      <c r="H17" s="194"/>
      <c r="I17" s="194"/>
      <c r="J17" s="194"/>
      <c r="K17" s="203"/>
      <c r="L17" s="204" t="s">
        <v>155</v>
      </c>
      <c r="M17" s="414"/>
      <c r="N17" s="414"/>
      <c r="O17" s="414"/>
      <c r="P17" s="414"/>
      <c r="Q17" s="414"/>
      <c r="R17" s="414"/>
      <c r="S17" s="414"/>
      <c r="T17" s="414"/>
      <c r="U17" s="414"/>
      <c r="V17" s="78"/>
      <c r="W17" s="78"/>
      <c r="X17" s="78"/>
      <c r="Y17" s="78"/>
      <c r="Z17" s="78"/>
      <c r="AA17" s="78"/>
      <c r="AB17" s="78"/>
      <c r="AC17" s="75"/>
      <c r="AD17" s="75"/>
      <c r="AE17" s="75"/>
      <c r="AF17" s="75"/>
      <c r="AG17" s="75"/>
      <c r="AH17" s="75"/>
      <c r="AI17" s="75"/>
      <c r="AJ17" s="75"/>
    </row>
    <row r="18" spans="1:36" s="193" customFormat="1" ht="27.75" customHeight="1">
      <c r="A18" s="33" t="s">
        <v>156</v>
      </c>
      <c r="B18" s="33"/>
      <c r="C18" s="33"/>
      <c r="D18" s="33"/>
      <c r="E18" s="33"/>
      <c r="F18" s="33"/>
      <c r="G18" s="33"/>
      <c r="H18" s="33"/>
      <c r="I18" s="33"/>
      <c r="J18" s="33"/>
      <c r="K18" s="33" t="s">
        <v>46</v>
      </c>
      <c r="L18" s="354" t="s">
        <v>169</v>
      </c>
      <c r="M18" s="415"/>
      <c r="N18" s="415"/>
      <c r="O18" s="415"/>
      <c r="P18" s="415"/>
      <c r="Q18" s="415"/>
      <c r="R18" s="415"/>
      <c r="S18" s="415"/>
      <c r="T18" s="415"/>
      <c r="U18" s="415"/>
      <c r="V18" s="78"/>
      <c r="W18" s="78"/>
      <c r="X18" s="78"/>
      <c r="Y18" s="78"/>
      <c r="Z18" s="78"/>
      <c r="AA18" s="78"/>
      <c r="AB18" s="78"/>
      <c r="AC18" s="75"/>
      <c r="AD18" s="75"/>
      <c r="AE18" s="75"/>
      <c r="AF18" s="75"/>
      <c r="AG18" s="75"/>
      <c r="AH18" s="75"/>
      <c r="AI18" s="75"/>
      <c r="AJ18" s="75"/>
    </row>
    <row r="19" spans="1:36" s="44" customFormat="1" ht="15.75">
      <c r="A19" s="37" t="s">
        <v>156</v>
      </c>
      <c r="B19" s="37">
        <v>1</v>
      </c>
      <c r="C19" s="37"/>
      <c r="D19" s="37">
        <v>3</v>
      </c>
      <c r="E19" s="37"/>
      <c r="F19" s="37"/>
      <c r="G19" s="37"/>
      <c r="H19" s="37"/>
      <c r="I19" s="37"/>
      <c r="J19" s="37">
        <v>111</v>
      </c>
      <c r="K19" s="272">
        <v>3</v>
      </c>
      <c r="L19" s="273" t="s">
        <v>0</v>
      </c>
      <c r="M19" s="422">
        <f aca="true" t="shared" si="0" ref="M19:S19">M20+M33</f>
        <v>19225.296967283826</v>
      </c>
      <c r="N19" s="422">
        <f t="shared" si="0"/>
        <v>32118.919636339506</v>
      </c>
      <c r="O19" s="437">
        <f t="shared" si="0"/>
        <v>179556.04220585307</v>
      </c>
      <c r="P19" s="437">
        <f t="shared" si="0"/>
        <v>32118.919636339506</v>
      </c>
      <c r="Q19" s="437">
        <f t="shared" si="0"/>
        <v>12692.44</v>
      </c>
      <c r="R19" s="437">
        <f t="shared" si="0"/>
        <v>18001.35</v>
      </c>
      <c r="S19" s="437">
        <f t="shared" si="0"/>
        <v>24720.58</v>
      </c>
      <c r="T19" s="437">
        <f>S19/M19*100</f>
        <v>128.58360545518562</v>
      </c>
      <c r="U19" s="437">
        <f>S19/R19*100</f>
        <v>137.3262560863491</v>
      </c>
      <c r="V19" s="78"/>
      <c r="W19" s="78"/>
      <c r="X19" s="78"/>
      <c r="Y19" s="78"/>
      <c r="Z19" s="78"/>
      <c r="AA19" s="78"/>
      <c r="AB19" s="78"/>
      <c r="AC19" s="75"/>
      <c r="AD19" s="75"/>
      <c r="AE19" s="75"/>
      <c r="AF19" s="75"/>
      <c r="AG19" s="75"/>
      <c r="AH19" s="75"/>
      <c r="AI19" s="75"/>
      <c r="AJ19" s="75"/>
    </row>
    <row r="20" spans="1:36" s="44" customFormat="1" ht="15.75" customHeight="1">
      <c r="A20" s="37" t="s">
        <v>156</v>
      </c>
      <c r="B20" s="37">
        <v>1</v>
      </c>
      <c r="C20" s="37"/>
      <c r="D20" s="37">
        <v>3</v>
      </c>
      <c r="E20" s="37"/>
      <c r="F20" s="37"/>
      <c r="G20" s="37"/>
      <c r="H20" s="37"/>
      <c r="I20" s="37"/>
      <c r="J20" s="37">
        <v>111</v>
      </c>
      <c r="K20" s="274">
        <v>32</v>
      </c>
      <c r="L20" s="287" t="s">
        <v>5</v>
      </c>
      <c r="M20" s="422">
        <f aca="true" t="shared" si="1" ref="M20:S20">M21+M23</f>
        <v>19225.296967283826</v>
      </c>
      <c r="N20" s="422">
        <f t="shared" si="1"/>
        <v>31853.474019510253</v>
      </c>
      <c r="O20" s="437">
        <f t="shared" si="1"/>
        <v>179290.59658902383</v>
      </c>
      <c r="P20" s="437">
        <f t="shared" si="1"/>
        <v>31853.474019510253</v>
      </c>
      <c r="Q20" s="437">
        <f t="shared" si="1"/>
        <v>12692.44</v>
      </c>
      <c r="R20" s="437">
        <f t="shared" si="1"/>
        <v>18001.35</v>
      </c>
      <c r="S20" s="437">
        <f t="shared" si="1"/>
        <v>24720.58</v>
      </c>
      <c r="T20" s="437">
        <f aca="true" t="shared" si="2" ref="T20:T36">S20/M20*100</f>
        <v>128.58360545518562</v>
      </c>
      <c r="U20" s="437">
        <f aca="true" t="shared" si="3" ref="U20:U36">S20/R20*100</f>
        <v>137.3262560863491</v>
      </c>
      <c r="V20" s="78"/>
      <c r="W20" s="78"/>
      <c r="X20" s="78"/>
      <c r="Y20" s="78"/>
      <c r="Z20" s="78"/>
      <c r="AA20" s="78"/>
      <c r="AB20" s="78"/>
      <c r="AC20" s="75"/>
      <c r="AD20" s="75"/>
      <c r="AE20" s="75"/>
      <c r="AF20" s="75"/>
      <c r="AG20" s="75"/>
      <c r="AH20" s="75"/>
      <c r="AI20" s="75"/>
      <c r="AJ20" s="75"/>
    </row>
    <row r="21" spans="1:36" s="44" customFormat="1" ht="18" customHeight="1">
      <c r="A21" s="37" t="s">
        <v>156</v>
      </c>
      <c r="B21" s="37">
        <v>1</v>
      </c>
      <c r="C21" s="37"/>
      <c r="D21" s="37">
        <v>3</v>
      </c>
      <c r="E21" s="37"/>
      <c r="F21" s="37"/>
      <c r="G21" s="37"/>
      <c r="H21" s="37"/>
      <c r="I21" s="37"/>
      <c r="J21" s="37">
        <v>111</v>
      </c>
      <c r="K21" s="272">
        <v>323</v>
      </c>
      <c r="L21" s="337" t="s">
        <v>7</v>
      </c>
      <c r="M21" s="422">
        <f aca="true" t="shared" si="4" ref="M21:S21">M22</f>
        <v>0</v>
      </c>
      <c r="N21" s="422">
        <f t="shared" si="4"/>
        <v>1327.2280841462605</v>
      </c>
      <c r="O21" s="437">
        <f t="shared" si="4"/>
        <v>10000</v>
      </c>
      <c r="P21" s="437">
        <f t="shared" si="4"/>
        <v>1327.2280841462605</v>
      </c>
      <c r="Q21" s="437">
        <f t="shared" si="4"/>
        <v>0</v>
      </c>
      <c r="R21" s="437">
        <f t="shared" si="4"/>
        <v>1327.23</v>
      </c>
      <c r="S21" s="437">
        <f t="shared" si="4"/>
        <v>0</v>
      </c>
      <c r="T21" s="437" t="e">
        <f t="shared" si="2"/>
        <v>#DIV/0!</v>
      </c>
      <c r="U21" s="437">
        <f t="shared" si="3"/>
        <v>0</v>
      </c>
      <c r="V21" s="78"/>
      <c r="W21" s="78"/>
      <c r="X21" s="78"/>
      <c r="Y21" s="78"/>
      <c r="Z21" s="78"/>
      <c r="AA21" s="78"/>
      <c r="AB21" s="78"/>
      <c r="AC21" s="75"/>
      <c r="AD21" s="75"/>
      <c r="AE21" s="75"/>
      <c r="AF21" s="75"/>
      <c r="AG21" s="75"/>
      <c r="AH21" s="75"/>
      <c r="AI21" s="75"/>
      <c r="AJ21" s="75"/>
    </row>
    <row r="22" spans="1:36" s="44" customFormat="1" ht="14.25" customHeight="1">
      <c r="A22" s="37" t="s">
        <v>156</v>
      </c>
      <c r="B22" s="37">
        <v>1</v>
      </c>
      <c r="C22" s="37"/>
      <c r="D22" s="37">
        <v>3</v>
      </c>
      <c r="E22" s="37"/>
      <c r="F22" s="37"/>
      <c r="G22" s="37"/>
      <c r="H22" s="37"/>
      <c r="I22" s="37"/>
      <c r="J22" s="37">
        <v>111</v>
      </c>
      <c r="K22" s="42">
        <v>3233</v>
      </c>
      <c r="L22" s="88" t="s">
        <v>56</v>
      </c>
      <c r="M22" s="422">
        <v>0</v>
      </c>
      <c r="N22" s="422">
        <f>10000/7.5345</f>
        <v>1327.2280841462605</v>
      </c>
      <c r="O22" s="422">
        <v>10000</v>
      </c>
      <c r="P22" s="422">
        <f>10000/7.5345</f>
        <v>1327.2280841462605</v>
      </c>
      <c r="Q22" s="422">
        <v>0</v>
      </c>
      <c r="R22" s="422">
        <v>1327.23</v>
      </c>
      <c r="S22" s="422">
        <v>0</v>
      </c>
      <c r="T22" s="437" t="e">
        <f t="shared" si="2"/>
        <v>#DIV/0!</v>
      </c>
      <c r="U22" s="437">
        <f t="shared" si="3"/>
        <v>0</v>
      </c>
      <c r="V22" s="78"/>
      <c r="W22" s="78"/>
      <c r="X22" s="78"/>
      <c r="Y22" s="78"/>
      <c r="Z22" s="78"/>
      <c r="AA22" s="78"/>
      <c r="AB22" s="78"/>
      <c r="AC22" s="75"/>
      <c r="AD22" s="75"/>
      <c r="AE22" s="75"/>
      <c r="AF22" s="75"/>
      <c r="AG22" s="75"/>
      <c r="AH22" s="75"/>
      <c r="AI22" s="75"/>
      <c r="AJ22" s="75"/>
    </row>
    <row r="23" spans="1:36" s="44" customFormat="1" ht="32.25" customHeight="1">
      <c r="A23" s="37" t="s">
        <v>156</v>
      </c>
      <c r="B23" s="37">
        <v>1</v>
      </c>
      <c r="C23" s="37"/>
      <c r="D23" s="37">
        <v>3</v>
      </c>
      <c r="E23" s="37"/>
      <c r="F23" s="37"/>
      <c r="G23" s="37"/>
      <c r="H23" s="37"/>
      <c r="I23" s="37"/>
      <c r="J23" s="37">
        <v>111</v>
      </c>
      <c r="K23" s="272">
        <v>329</v>
      </c>
      <c r="L23" s="337" t="s">
        <v>34</v>
      </c>
      <c r="M23" s="422">
        <f>M24+M25+M26+M31</f>
        <v>19225.296967283826</v>
      </c>
      <c r="N23" s="422">
        <f>N24+N25+N26+N31</f>
        <v>30526.245935363993</v>
      </c>
      <c r="O23" s="437">
        <f>O24+O25+O26+O31</f>
        <v>169290.59658902383</v>
      </c>
      <c r="P23" s="437">
        <f>P24+P25+P26+P31</f>
        <v>30526.245935363993</v>
      </c>
      <c r="Q23" s="437">
        <f>Q24+Q25+Q26+Q31</f>
        <v>12692.44</v>
      </c>
      <c r="R23" s="437">
        <f>R24+R25+R2831+R31</f>
        <v>16674.12</v>
      </c>
      <c r="S23" s="437">
        <f>S24+S25+S2831+S31</f>
        <v>24720.58</v>
      </c>
      <c r="T23" s="437">
        <f t="shared" si="2"/>
        <v>128.58360545518562</v>
      </c>
      <c r="U23" s="437">
        <f t="shared" si="3"/>
        <v>148.2571793893771</v>
      </c>
      <c r="V23" s="78"/>
      <c r="W23" s="78"/>
      <c r="X23" s="78"/>
      <c r="Y23" s="78"/>
      <c r="Z23" s="78"/>
      <c r="AA23" s="78"/>
      <c r="AB23" s="78"/>
      <c r="AC23" s="75"/>
      <c r="AD23" s="75"/>
      <c r="AE23" s="75"/>
      <c r="AF23" s="75"/>
      <c r="AG23" s="75"/>
      <c r="AH23" s="75"/>
      <c r="AI23" s="75"/>
      <c r="AJ23" s="75"/>
    </row>
    <row r="24" spans="1:36" s="44" customFormat="1" ht="24" customHeight="1">
      <c r="A24" s="37" t="s">
        <v>156</v>
      </c>
      <c r="B24" s="37">
        <v>1</v>
      </c>
      <c r="C24" s="37"/>
      <c r="D24" s="37">
        <v>3</v>
      </c>
      <c r="E24" s="37"/>
      <c r="F24" s="37"/>
      <c r="G24" s="37"/>
      <c r="H24" s="37"/>
      <c r="I24" s="37"/>
      <c r="J24" s="37">
        <v>111</v>
      </c>
      <c r="K24" s="42">
        <v>3291</v>
      </c>
      <c r="L24" s="89" t="s">
        <v>258</v>
      </c>
      <c r="M24" s="422">
        <f>128021/7.5345</f>
        <v>16991.30665604884</v>
      </c>
      <c r="N24" s="422">
        <f>130000/7.5345</f>
        <v>17253.965093901385</v>
      </c>
      <c r="O24" s="422">
        <v>130000</v>
      </c>
      <c r="P24" s="422">
        <f>130000/7.5345</f>
        <v>17253.965093901385</v>
      </c>
      <c r="Q24" s="422">
        <f>5630.76+1407.69</f>
        <v>7038.450000000001</v>
      </c>
      <c r="R24" s="422">
        <v>7038.45</v>
      </c>
      <c r="S24" s="422">
        <v>16790.05</v>
      </c>
      <c r="T24" s="437">
        <f t="shared" si="2"/>
        <v>98.81553161200117</v>
      </c>
      <c r="U24" s="437">
        <f t="shared" si="3"/>
        <v>238.54754953150197</v>
      </c>
      <c r="V24" s="78"/>
      <c r="W24" s="78"/>
      <c r="X24" s="78"/>
      <c r="Y24" s="78"/>
      <c r="Z24" s="78"/>
      <c r="AA24" s="78"/>
      <c r="AB24" s="78"/>
      <c r="AC24" s="75"/>
      <c r="AD24" s="75"/>
      <c r="AE24" s="75"/>
      <c r="AF24" s="75"/>
      <c r="AG24" s="75"/>
      <c r="AH24" s="75"/>
      <c r="AI24" s="75"/>
      <c r="AJ24" s="75"/>
    </row>
    <row r="25" spans="1:36" s="44" customFormat="1" ht="17.25" customHeight="1">
      <c r="A25" s="37" t="s">
        <v>156</v>
      </c>
      <c r="B25" s="37">
        <v>1</v>
      </c>
      <c r="C25" s="37"/>
      <c r="D25" s="37">
        <v>3</v>
      </c>
      <c r="E25" s="37"/>
      <c r="F25" s="37"/>
      <c r="G25" s="37"/>
      <c r="H25" s="37"/>
      <c r="I25" s="37"/>
      <c r="J25" s="37">
        <v>111</v>
      </c>
      <c r="K25" s="90">
        <v>3291</v>
      </c>
      <c r="L25" s="91" t="s">
        <v>305</v>
      </c>
      <c r="M25" s="423"/>
      <c r="N25" s="423">
        <f>70000/7.5345</f>
        <v>9290.596589023824</v>
      </c>
      <c r="O25" s="423">
        <f>70000/7.5345</f>
        <v>9290.596589023824</v>
      </c>
      <c r="P25" s="423">
        <f>70000/7.5345</f>
        <v>9290.596589023824</v>
      </c>
      <c r="Q25" s="423">
        <v>5653.99</v>
      </c>
      <c r="R25" s="423">
        <v>5653.99</v>
      </c>
      <c r="S25" s="423">
        <v>5653.99</v>
      </c>
      <c r="T25" s="437" t="e">
        <f t="shared" si="2"/>
        <v>#DIV/0!</v>
      </c>
      <c r="U25" s="437">
        <f t="shared" si="3"/>
        <v>100</v>
      </c>
      <c r="V25" s="78"/>
      <c r="W25" s="78"/>
      <c r="X25" s="78"/>
      <c r="Y25" s="78"/>
      <c r="Z25" s="78"/>
      <c r="AA25" s="78"/>
      <c r="AB25" s="78"/>
      <c r="AC25" s="75"/>
      <c r="AD25" s="75"/>
      <c r="AE25" s="75"/>
      <c r="AF25" s="75"/>
      <c r="AG25" s="75"/>
      <c r="AH25" s="75"/>
      <c r="AI25" s="75"/>
      <c r="AJ25" s="75"/>
    </row>
    <row r="26" spans="1:36" s="44" customFormat="1" ht="12.75" customHeight="1">
      <c r="A26" s="37" t="s">
        <v>156</v>
      </c>
      <c r="B26" s="37">
        <v>1</v>
      </c>
      <c r="C26" s="37"/>
      <c r="D26" s="37">
        <v>3</v>
      </c>
      <c r="E26" s="37"/>
      <c r="F26" s="37"/>
      <c r="G26" s="37"/>
      <c r="H26" s="37"/>
      <c r="I26" s="37"/>
      <c r="J26" s="37">
        <v>111</v>
      </c>
      <c r="K26" s="90">
        <v>3291</v>
      </c>
      <c r="L26" s="91" t="s">
        <v>309</v>
      </c>
      <c r="M26" s="423"/>
      <c r="N26" s="423">
        <f>0/7.5345</f>
        <v>0</v>
      </c>
      <c r="O26" s="423">
        <v>0</v>
      </c>
      <c r="P26" s="423">
        <v>0</v>
      </c>
      <c r="Q26" s="423">
        <v>0</v>
      </c>
      <c r="R26" s="423"/>
      <c r="S26" s="423"/>
      <c r="T26" s="437" t="e">
        <f t="shared" si="2"/>
        <v>#DIV/0!</v>
      </c>
      <c r="U26" s="437" t="e">
        <f t="shared" si="3"/>
        <v>#DIV/0!</v>
      </c>
      <c r="V26" s="78"/>
      <c r="W26" s="78"/>
      <c r="X26" s="78"/>
      <c r="Y26" s="78"/>
      <c r="Z26" s="78"/>
      <c r="AA26" s="78"/>
      <c r="AB26" s="78"/>
      <c r="AC26" s="75"/>
      <c r="AD26" s="75"/>
      <c r="AE26" s="75"/>
      <c r="AF26" s="75"/>
      <c r="AG26" s="75"/>
      <c r="AH26" s="75"/>
      <c r="AI26" s="75"/>
      <c r="AJ26" s="75"/>
    </row>
    <row r="27" spans="1:36" s="44" customFormat="1" ht="18" customHeight="1">
      <c r="A27" s="37" t="s">
        <v>156</v>
      </c>
      <c r="B27" s="37">
        <v>1</v>
      </c>
      <c r="C27" s="37"/>
      <c r="D27" s="37">
        <v>3</v>
      </c>
      <c r="E27" s="37"/>
      <c r="F27" s="37"/>
      <c r="G27" s="37"/>
      <c r="H27" s="37"/>
      <c r="I27" s="37"/>
      <c r="J27" s="37">
        <v>111</v>
      </c>
      <c r="K27" s="90">
        <v>3291</v>
      </c>
      <c r="L27" s="333" t="s">
        <v>113</v>
      </c>
      <c r="M27" s="423"/>
      <c r="N27" s="423">
        <f>0/7.5345</f>
        <v>0</v>
      </c>
      <c r="O27" s="423"/>
      <c r="P27" s="423"/>
      <c r="Q27" s="423"/>
      <c r="R27" s="423"/>
      <c r="S27" s="423"/>
      <c r="T27" s="437" t="e">
        <f t="shared" si="2"/>
        <v>#DIV/0!</v>
      </c>
      <c r="U27" s="437" t="e">
        <f t="shared" si="3"/>
        <v>#DIV/0!</v>
      </c>
      <c r="V27" s="78"/>
      <c r="W27" s="78"/>
      <c r="X27" s="78"/>
      <c r="Y27" s="78"/>
      <c r="Z27" s="78"/>
      <c r="AA27" s="78"/>
      <c r="AB27" s="78"/>
      <c r="AC27" s="75"/>
      <c r="AD27" s="75"/>
      <c r="AE27" s="75"/>
      <c r="AF27" s="75"/>
      <c r="AG27" s="75"/>
      <c r="AH27" s="75"/>
      <c r="AI27" s="75"/>
      <c r="AJ27" s="75"/>
    </row>
    <row r="28" spans="1:36" s="44" customFormat="1" ht="15.75" customHeight="1">
      <c r="A28" s="37" t="s">
        <v>156</v>
      </c>
      <c r="B28" s="37">
        <v>1</v>
      </c>
      <c r="C28" s="37"/>
      <c r="D28" s="37">
        <v>3</v>
      </c>
      <c r="E28" s="37"/>
      <c r="F28" s="37"/>
      <c r="G28" s="37"/>
      <c r="H28" s="37"/>
      <c r="I28" s="37"/>
      <c r="J28" s="37">
        <v>111</v>
      </c>
      <c r="K28" s="90">
        <v>3291</v>
      </c>
      <c r="L28" s="91" t="s">
        <v>296</v>
      </c>
      <c r="M28" s="423"/>
      <c r="N28" s="423">
        <f>0/7.5345</f>
        <v>0</v>
      </c>
      <c r="O28" s="423"/>
      <c r="P28" s="423"/>
      <c r="Q28" s="423"/>
      <c r="R28" s="423"/>
      <c r="S28" s="423"/>
      <c r="T28" s="437" t="e">
        <f t="shared" si="2"/>
        <v>#DIV/0!</v>
      </c>
      <c r="U28" s="437" t="e">
        <f t="shared" si="3"/>
        <v>#DIV/0!</v>
      </c>
      <c r="V28" s="78"/>
      <c r="W28" s="78"/>
      <c r="X28" s="78"/>
      <c r="Y28" s="78"/>
      <c r="Z28" s="78"/>
      <c r="AA28" s="78"/>
      <c r="AB28" s="78"/>
      <c r="AC28" s="75"/>
      <c r="AD28" s="75"/>
      <c r="AE28" s="75"/>
      <c r="AF28" s="75"/>
      <c r="AG28" s="75"/>
      <c r="AH28" s="75"/>
      <c r="AI28" s="75"/>
      <c r="AJ28" s="75"/>
    </row>
    <row r="29" spans="1:36" s="44" customFormat="1" ht="19.5" customHeight="1">
      <c r="A29" s="37" t="s">
        <v>156</v>
      </c>
      <c r="B29" s="37">
        <v>1</v>
      </c>
      <c r="C29" s="37"/>
      <c r="D29" s="37">
        <v>3</v>
      </c>
      <c r="E29" s="37"/>
      <c r="F29" s="37"/>
      <c r="G29" s="37"/>
      <c r="H29" s="37"/>
      <c r="I29" s="37"/>
      <c r="J29" s="37">
        <v>111</v>
      </c>
      <c r="K29" s="90">
        <v>3291</v>
      </c>
      <c r="L29" s="91" t="s">
        <v>121</v>
      </c>
      <c r="M29" s="423"/>
      <c r="N29" s="423">
        <f>0/7.5345</f>
        <v>0</v>
      </c>
      <c r="O29" s="423"/>
      <c r="P29" s="423"/>
      <c r="Q29" s="423"/>
      <c r="R29" s="423"/>
      <c r="S29" s="423"/>
      <c r="T29" s="437" t="e">
        <f t="shared" si="2"/>
        <v>#DIV/0!</v>
      </c>
      <c r="U29" s="437" t="e">
        <f t="shared" si="3"/>
        <v>#DIV/0!</v>
      </c>
      <c r="V29" s="78"/>
      <c r="W29" s="78"/>
      <c r="X29" s="78"/>
      <c r="Y29" s="78"/>
      <c r="Z29" s="78"/>
      <c r="AA29" s="78"/>
      <c r="AB29" s="78"/>
      <c r="AC29" s="75"/>
      <c r="AD29" s="75"/>
      <c r="AE29" s="75"/>
      <c r="AF29" s="75"/>
      <c r="AG29" s="75"/>
      <c r="AH29" s="75"/>
      <c r="AI29" s="75"/>
      <c r="AJ29" s="75"/>
    </row>
    <row r="30" spans="1:36" s="44" customFormat="1" ht="14.25" customHeight="1">
      <c r="A30" s="37" t="s">
        <v>156</v>
      </c>
      <c r="B30" s="37">
        <v>1</v>
      </c>
      <c r="C30" s="37"/>
      <c r="D30" s="37">
        <v>3</v>
      </c>
      <c r="E30" s="37"/>
      <c r="F30" s="37"/>
      <c r="G30" s="37"/>
      <c r="H30" s="37"/>
      <c r="I30" s="37"/>
      <c r="J30" s="37">
        <v>111</v>
      </c>
      <c r="K30" s="90">
        <v>3293</v>
      </c>
      <c r="L30" s="333" t="s">
        <v>57</v>
      </c>
      <c r="M30" s="423"/>
      <c r="N30" s="423">
        <f>0/7.5345</f>
        <v>0</v>
      </c>
      <c r="O30" s="423"/>
      <c r="P30" s="423"/>
      <c r="Q30" s="423"/>
      <c r="R30" s="423"/>
      <c r="S30" s="423"/>
      <c r="T30" s="437" t="e">
        <f t="shared" si="2"/>
        <v>#DIV/0!</v>
      </c>
      <c r="U30" s="437" t="e">
        <f t="shared" si="3"/>
        <v>#DIV/0!</v>
      </c>
      <c r="V30" s="78"/>
      <c r="W30" s="78"/>
      <c r="X30" s="78"/>
      <c r="Y30" s="78"/>
      <c r="Z30" s="78"/>
      <c r="AA30" s="78"/>
      <c r="AB30" s="78"/>
      <c r="AC30" s="75"/>
      <c r="AD30" s="75"/>
      <c r="AE30" s="75"/>
      <c r="AF30" s="75"/>
      <c r="AG30" s="75"/>
      <c r="AH30" s="75"/>
      <c r="AI30" s="75"/>
      <c r="AJ30" s="75"/>
    </row>
    <row r="31" spans="1:36" s="44" customFormat="1" ht="31.5" customHeight="1">
      <c r="A31" s="37" t="s">
        <v>156</v>
      </c>
      <c r="B31" s="37">
        <v>1</v>
      </c>
      <c r="C31" s="37"/>
      <c r="D31" s="37">
        <v>3</v>
      </c>
      <c r="E31" s="37"/>
      <c r="F31" s="37"/>
      <c r="G31" s="37"/>
      <c r="H31" s="37"/>
      <c r="I31" s="37"/>
      <c r="J31" s="37">
        <v>111</v>
      </c>
      <c r="K31" s="42">
        <v>3291</v>
      </c>
      <c r="L31" s="333" t="s">
        <v>486</v>
      </c>
      <c r="M31" s="422">
        <f>16832/7.5345</f>
        <v>2233.9903112349857</v>
      </c>
      <c r="N31" s="422">
        <f>30000/7.5345</f>
        <v>3981.684252438781</v>
      </c>
      <c r="O31" s="422">
        <v>30000</v>
      </c>
      <c r="P31" s="422">
        <f>30000/7.5345</f>
        <v>3981.684252438781</v>
      </c>
      <c r="Q31" s="422">
        <v>0</v>
      </c>
      <c r="R31" s="422">
        <v>3981.68</v>
      </c>
      <c r="S31" s="422">
        <v>2276.54</v>
      </c>
      <c r="T31" s="437">
        <f t="shared" si="2"/>
        <v>101.90464965541825</v>
      </c>
      <c r="U31" s="437">
        <f t="shared" si="3"/>
        <v>57.17536316328786</v>
      </c>
      <c r="V31" s="78"/>
      <c r="W31" s="78"/>
      <c r="X31" s="78"/>
      <c r="Y31" s="78"/>
      <c r="Z31" s="78"/>
      <c r="AA31" s="78"/>
      <c r="AB31" s="78"/>
      <c r="AC31" s="75"/>
      <c r="AD31" s="75"/>
      <c r="AE31" s="75"/>
      <c r="AF31" s="75"/>
      <c r="AG31" s="75"/>
      <c r="AH31" s="75"/>
      <c r="AI31" s="75"/>
      <c r="AJ31" s="75"/>
    </row>
    <row r="32" spans="1:36" s="44" customFormat="1" ht="19.5" customHeight="1">
      <c r="A32" s="37" t="s">
        <v>156</v>
      </c>
      <c r="B32" s="37"/>
      <c r="C32" s="37"/>
      <c r="D32" s="37">
        <v>3</v>
      </c>
      <c r="E32" s="37"/>
      <c r="F32" s="37"/>
      <c r="G32" s="37"/>
      <c r="H32" s="37"/>
      <c r="I32" s="37"/>
      <c r="J32" s="37">
        <v>111</v>
      </c>
      <c r="K32" s="90">
        <v>3291</v>
      </c>
      <c r="L32" s="87" t="s">
        <v>126</v>
      </c>
      <c r="M32" s="422"/>
      <c r="N32" s="422">
        <v>0</v>
      </c>
      <c r="O32" s="422"/>
      <c r="P32" s="422"/>
      <c r="Q32" s="422"/>
      <c r="R32" s="422"/>
      <c r="S32" s="422"/>
      <c r="T32" s="437" t="e">
        <f t="shared" si="2"/>
        <v>#DIV/0!</v>
      </c>
      <c r="U32" s="437" t="e">
        <f t="shared" si="3"/>
        <v>#DIV/0!</v>
      </c>
      <c r="V32" s="78"/>
      <c r="W32" s="78"/>
      <c r="X32" s="78"/>
      <c r="Y32" s="78"/>
      <c r="Z32" s="78"/>
      <c r="AA32" s="78"/>
      <c r="AB32" s="78"/>
      <c r="AC32" s="75"/>
      <c r="AD32" s="75"/>
      <c r="AE32" s="75"/>
      <c r="AF32" s="75"/>
      <c r="AG32" s="75"/>
      <c r="AH32" s="75"/>
      <c r="AI32" s="75"/>
      <c r="AJ32" s="75"/>
    </row>
    <row r="33" spans="1:36" s="44" customFormat="1" ht="24.75" customHeight="1">
      <c r="A33" s="37" t="s">
        <v>156</v>
      </c>
      <c r="B33" s="37">
        <v>1</v>
      </c>
      <c r="C33" s="37"/>
      <c r="D33" s="37">
        <v>3</v>
      </c>
      <c r="E33" s="37"/>
      <c r="F33" s="37"/>
      <c r="G33" s="37"/>
      <c r="H33" s="37"/>
      <c r="I33" s="37"/>
      <c r="J33" s="37">
        <v>111</v>
      </c>
      <c r="K33" s="288">
        <v>38</v>
      </c>
      <c r="L33" s="289" t="s">
        <v>77</v>
      </c>
      <c r="M33" s="423">
        <f aca="true" t="shared" si="5" ref="M33:S34">M34</f>
        <v>0</v>
      </c>
      <c r="N33" s="423">
        <f>N34</f>
        <v>265.4456168292521</v>
      </c>
      <c r="O33" s="438">
        <f t="shared" si="5"/>
        <v>265.4456168292521</v>
      </c>
      <c r="P33" s="438">
        <f t="shared" si="5"/>
        <v>265.4456168292521</v>
      </c>
      <c r="Q33" s="438">
        <f t="shared" si="5"/>
        <v>0</v>
      </c>
      <c r="R33" s="438">
        <f t="shared" si="5"/>
        <v>0</v>
      </c>
      <c r="S33" s="438">
        <f t="shared" si="5"/>
        <v>0</v>
      </c>
      <c r="T33" s="437" t="e">
        <f t="shared" si="2"/>
        <v>#DIV/0!</v>
      </c>
      <c r="U33" s="437" t="e">
        <f t="shared" si="3"/>
        <v>#DIV/0!</v>
      </c>
      <c r="V33" s="78"/>
      <c r="W33" s="78"/>
      <c r="X33" s="78"/>
      <c r="Y33" s="78"/>
      <c r="Z33" s="78"/>
      <c r="AA33" s="78"/>
      <c r="AB33" s="78"/>
      <c r="AC33" s="75"/>
      <c r="AD33" s="75"/>
      <c r="AE33" s="75"/>
      <c r="AF33" s="75"/>
      <c r="AG33" s="75"/>
      <c r="AH33" s="75"/>
      <c r="AI33" s="75"/>
      <c r="AJ33" s="75"/>
    </row>
    <row r="34" spans="1:36" s="44" customFormat="1" ht="15.75" customHeight="1">
      <c r="A34" s="37" t="s">
        <v>156</v>
      </c>
      <c r="B34" s="37">
        <v>1</v>
      </c>
      <c r="C34" s="37"/>
      <c r="D34" s="37">
        <v>3</v>
      </c>
      <c r="E34" s="37"/>
      <c r="F34" s="37"/>
      <c r="G34" s="37"/>
      <c r="H34" s="37"/>
      <c r="I34" s="37"/>
      <c r="J34" s="37">
        <v>111</v>
      </c>
      <c r="K34" s="283">
        <v>381</v>
      </c>
      <c r="L34" s="284" t="s">
        <v>76</v>
      </c>
      <c r="M34" s="423">
        <f t="shared" si="5"/>
        <v>0</v>
      </c>
      <c r="N34" s="423">
        <f>N35</f>
        <v>265.4456168292521</v>
      </c>
      <c r="O34" s="438">
        <f t="shared" si="5"/>
        <v>265.4456168292521</v>
      </c>
      <c r="P34" s="438">
        <f t="shared" si="5"/>
        <v>265.4456168292521</v>
      </c>
      <c r="Q34" s="438">
        <f t="shared" si="5"/>
        <v>0</v>
      </c>
      <c r="R34" s="438">
        <f t="shared" si="5"/>
        <v>0</v>
      </c>
      <c r="S34" s="438">
        <f t="shared" si="5"/>
        <v>0</v>
      </c>
      <c r="T34" s="437" t="e">
        <f t="shared" si="2"/>
        <v>#DIV/0!</v>
      </c>
      <c r="U34" s="437" t="e">
        <f t="shared" si="3"/>
        <v>#DIV/0!</v>
      </c>
      <c r="V34" s="78"/>
      <c r="W34" s="78"/>
      <c r="X34" s="78"/>
      <c r="Y34" s="78"/>
      <c r="Z34" s="78"/>
      <c r="AA34" s="78"/>
      <c r="AB34" s="78"/>
      <c r="AC34" s="75"/>
      <c r="AD34" s="75"/>
      <c r="AE34" s="75"/>
      <c r="AF34" s="75"/>
      <c r="AG34" s="75"/>
      <c r="AH34" s="75"/>
      <c r="AI34" s="75"/>
      <c r="AJ34" s="75"/>
    </row>
    <row r="35" spans="1:36" s="44" customFormat="1" ht="15" customHeight="1">
      <c r="A35" s="37" t="s">
        <v>156</v>
      </c>
      <c r="B35" s="37">
        <v>1</v>
      </c>
      <c r="C35" s="37"/>
      <c r="D35" s="37">
        <v>3</v>
      </c>
      <c r="E35" s="37"/>
      <c r="F35" s="37"/>
      <c r="G35" s="37"/>
      <c r="H35" s="37"/>
      <c r="I35" s="37"/>
      <c r="J35" s="37">
        <v>111</v>
      </c>
      <c r="K35" s="90">
        <v>3811</v>
      </c>
      <c r="L35" s="92" t="s">
        <v>122</v>
      </c>
      <c r="M35" s="423"/>
      <c r="N35" s="423">
        <f>2000/7.5345</f>
        <v>265.4456168292521</v>
      </c>
      <c r="O35" s="423">
        <f>2000/7.5345</f>
        <v>265.4456168292521</v>
      </c>
      <c r="P35" s="423">
        <f>2000/7.5345</f>
        <v>265.4456168292521</v>
      </c>
      <c r="Q35" s="423">
        <v>0</v>
      </c>
      <c r="R35" s="423">
        <v>0</v>
      </c>
      <c r="S35" s="423"/>
      <c r="T35" s="437" t="e">
        <f t="shared" si="2"/>
        <v>#DIV/0!</v>
      </c>
      <c r="U35" s="437" t="e">
        <f t="shared" si="3"/>
        <v>#DIV/0!</v>
      </c>
      <c r="V35" s="78"/>
      <c r="W35" s="78"/>
      <c r="X35" s="78"/>
      <c r="Y35" s="78"/>
      <c r="Z35" s="78"/>
      <c r="AA35" s="78"/>
      <c r="AB35" s="78"/>
      <c r="AC35" s="75"/>
      <c r="AD35" s="75"/>
      <c r="AE35" s="75"/>
      <c r="AF35" s="75"/>
      <c r="AG35" s="75"/>
      <c r="AH35" s="75"/>
      <c r="AI35" s="75"/>
      <c r="AJ35" s="75"/>
    </row>
    <row r="36" spans="1:36" s="128" customFormat="1" ht="24" customHeight="1">
      <c r="A36" s="125"/>
      <c r="B36" s="125"/>
      <c r="C36" s="125"/>
      <c r="D36" s="125"/>
      <c r="E36" s="125"/>
      <c r="F36" s="125"/>
      <c r="G36" s="125"/>
      <c r="H36" s="125"/>
      <c r="I36" s="125"/>
      <c r="J36" s="125"/>
      <c r="K36" s="140"/>
      <c r="L36" s="127" t="s">
        <v>86</v>
      </c>
      <c r="M36" s="421">
        <f aca="true" t="shared" si="6" ref="M36:S36">M19</f>
        <v>19225.296967283826</v>
      </c>
      <c r="N36" s="421">
        <f t="shared" si="6"/>
        <v>32118.919636339506</v>
      </c>
      <c r="O36" s="421">
        <f t="shared" si="6"/>
        <v>179556.04220585307</v>
      </c>
      <c r="P36" s="421">
        <f t="shared" si="6"/>
        <v>32118.919636339506</v>
      </c>
      <c r="Q36" s="421">
        <f t="shared" si="6"/>
        <v>12692.44</v>
      </c>
      <c r="R36" s="421">
        <f t="shared" si="6"/>
        <v>18001.35</v>
      </c>
      <c r="S36" s="421">
        <f t="shared" si="6"/>
        <v>24720.58</v>
      </c>
      <c r="T36" s="421">
        <f t="shared" si="2"/>
        <v>128.58360545518562</v>
      </c>
      <c r="U36" s="421">
        <f t="shared" si="3"/>
        <v>137.3262560863491</v>
      </c>
      <c r="V36" s="78"/>
      <c r="W36" s="78"/>
      <c r="X36" s="78"/>
      <c r="Y36" s="78"/>
      <c r="Z36" s="78"/>
      <c r="AA36" s="78"/>
      <c r="AB36" s="78"/>
      <c r="AC36" s="75"/>
      <c r="AD36" s="75"/>
      <c r="AE36" s="75"/>
      <c r="AF36" s="75"/>
      <c r="AG36" s="75"/>
      <c r="AH36" s="75"/>
      <c r="AI36" s="75"/>
      <c r="AJ36" s="75"/>
    </row>
    <row r="37" spans="1:36" s="44" customFormat="1" ht="15" customHeight="1" hidden="1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9"/>
      <c r="L37" s="53"/>
      <c r="M37" s="439"/>
      <c r="N37" s="439"/>
      <c r="O37" s="440"/>
      <c r="P37" s="440"/>
      <c r="Q37" s="440"/>
      <c r="R37" s="429"/>
      <c r="S37" s="429"/>
      <c r="T37" s="437" t="e">
        <f aca="true" t="shared" si="7" ref="T37:T48">R37/N37*100</f>
        <v>#DIV/0!</v>
      </c>
      <c r="U37" s="429"/>
      <c r="V37" s="78"/>
      <c r="W37" s="78"/>
      <c r="X37" s="78"/>
      <c r="Y37" s="78"/>
      <c r="Z37" s="78"/>
      <c r="AA37" s="78"/>
      <c r="AB37" s="78"/>
      <c r="AC37" s="75"/>
      <c r="AD37" s="75"/>
      <c r="AE37" s="75"/>
      <c r="AF37" s="75"/>
      <c r="AG37" s="75"/>
      <c r="AH37" s="75"/>
      <c r="AI37" s="75"/>
      <c r="AJ37" s="75"/>
    </row>
    <row r="38" spans="1:36" s="44" customFormat="1" ht="15" customHeight="1" hidden="1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2" t="s">
        <v>127</v>
      </c>
      <c r="L38" s="48" t="s">
        <v>47</v>
      </c>
      <c r="M38" s="439"/>
      <c r="N38" s="439"/>
      <c r="O38" s="440"/>
      <c r="P38" s="440"/>
      <c r="Q38" s="440"/>
      <c r="R38" s="429"/>
      <c r="S38" s="429"/>
      <c r="T38" s="437" t="e">
        <f t="shared" si="7"/>
        <v>#DIV/0!</v>
      </c>
      <c r="U38" s="429"/>
      <c r="V38" s="78"/>
      <c r="W38" s="78"/>
      <c r="X38" s="78"/>
      <c r="Y38" s="78"/>
      <c r="Z38" s="78"/>
      <c r="AA38" s="78"/>
      <c r="AB38" s="78"/>
      <c r="AC38" s="75"/>
      <c r="AD38" s="75"/>
      <c r="AE38" s="75"/>
      <c r="AF38" s="75"/>
      <c r="AG38" s="75"/>
      <c r="AH38" s="75"/>
      <c r="AI38" s="75"/>
      <c r="AJ38" s="75"/>
    </row>
    <row r="39" spans="1:36" s="44" customFormat="1" ht="12.75" customHeight="1" hidden="1">
      <c r="A39" s="20" t="s">
        <v>158</v>
      </c>
      <c r="B39" s="20"/>
      <c r="C39" s="20"/>
      <c r="D39" s="20"/>
      <c r="E39" s="20"/>
      <c r="F39" s="20"/>
      <c r="G39" s="20"/>
      <c r="H39" s="20"/>
      <c r="I39" s="20"/>
      <c r="J39" s="20">
        <v>111</v>
      </c>
      <c r="K39" s="20" t="s">
        <v>46</v>
      </c>
      <c r="L39" s="361" t="s">
        <v>243</v>
      </c>
      <c r="M39" s="439"/>
      <c r="N39" s="439"/>
      <c r="O39" s="440"/>
      <c r="P39" s="440"/>
      <c r="Q39" s="440"/>
      <c r="R39" s="429"/>
      <c r="S39" s="429"/>
      <c r="T39" s="437" t="e">
        <f t="shared" si="7"/>
        <v>#DIV/0!</v>
      </c>
      <c r="U39" s="429"/>
      <c r="V39" s="78"/>
      <c r="W39" s="78"/>
      <c r="X39" s="78"/>
      <c r="Y39" s="78"/>
      <c r="Z39" s="78"/>
      <c r="AA39" s="78"/>
      <c r="AB39" s="78"/>
      <c r="AC39" s="75"/>
      <c r="AD39" s="75"/>
      <c r="AE39" s="75"/>
      <c r="AF39" s="75"/>
      <c r="AG39" s="75"/>
      <c r="AH39" s="75"/>
      <c r="AI39" s="75"/>
      <c r="AJ39" s="75"/>
    </row>
    <row r="40" spans="1:36" s="44" customFormat="1" ht="15" customHeight="1" hidden="1">
      <c r="A40" s="17" t="s">
        <v>158</v>
      </c>
      <c r="B40" s="17">
        <v>1</v>
      </c>
      <c r="C40" s="17"/>
      <c r="D40" s="17">
        <v>3</v>
      </c>
      <c r="E40" s="17"/>
      <c r="F40" s="17">
        <v>5</v>
      </c>
      <c r="G40" s="17"/>
      <c r="H40" s="17"/>
      <c r="I40" s="17"/>
      <c r="J40" s="17">
        <v>111</v>
      </c>
      <c r="K40" s="22">
        <v>3</v>
      </c>
      <c r="L40" s="356" t="s">
        <v>0</v>
      </c>
      <c r="M40" s="439"/>
      <c r="N40" s="439"/>
      <c r="O40" s="440"/>
      <c r="P40" s="440"/>
      <c r="Q40" s="440"/>
      <c r="R40" s="429"/>
      <c r="S40" s="429"/>
      <c r="T40" s="437" t="e">
        <f t="shared" si="7"/>
        <v>#DIV/0!</v>
      </c>
      <c r="U40" s="429"/>
      <c r="V40" s="78"/>
      <c r="W40" s="78"/>
      <c r="X40" s="78"/>
      <c r="Y40" s="78"/>
      <c r="Z40" s="78"/>
      <c r="AA40" s="78"/>
      <c r="AB40" s="78"/>
      <c r="AC40" s="75"/>
      <c r="AD40" s="75"/>
      <c r="AE40" s="75"/>
      <c r="AF40" s="75"/>
      <c r="AG40" s="75"/>
      <c r="AH40" s="75"/>
      <c r="AI40" s="75"/>
      <c r="AJ40" s="75"/>
    </row>
    <row r="41" spans="1:36" s="44" customFormat="1" ht="15" customHeight="1" hidden="1">
      <c r="A41" s="17" t="s">
        <v>158</v>
      </c>
      <c r="B41" s="17">
        <v>1</v>
      </c>
      <c r="C41" s="17"/>
      <c r="D41" s="17">
        <v>3</v>
      </c>
      <c r="E41" s="17"/>
      <c r="F41" s="17">
        <v>5</v>
      </c>
      <c r="G41" s="17"/>
      <c r="H41" s="17"/>
      <c r="I41" s="17"/>
      <c r="J41" s="17">
        <v>111</v>
      </c>
      <c r="K41" s="23">
        <v>32</v>
      </c>
      <c r="L41" s="333" t="s">
        <v>5</v>
      </c>
      <c r="M41" s="439"/>
      <c r="N41" s="439"/>
      <c r="O41" s="440"/>
      <c r="P41" s="440"/>
      <c r="Q41" s="440"/>
      <c r="R41" s="429"/>
      <c r="S41" s="429"/>
      <c r="T41" s="437" t="e">
        <f t="shared" si="7"/>
        <v>#DIV/0!</v>
      </c>
      <c r="U41" s="429"/>
      <c r="V41" s="78"/>
      <c r="W41" s="78"/>
      <c r="X41" s="78"/>
      <c r="Y41" s="78"/>
      <c r="Z41" s="78"/>
      <c r="AA41" s="78"/>
      <c r="AB41" s="78"/>
      <c r="AC41" s="75"/>
      <c r="AD41" s="75"/>
      <c r="AE41" s="75"/>
      <c r="AF41" s="75"/>
      <c r="AG41" s="75"/>
      <c r="AH41" s="75"/>
      <c r="AI41" s="75"/>
      <c r="AJ41" s="75"/>
    </row>
    <row r="42" spans="1:36" s="44" customFormat="1" ht="15" customHeight="1" hidden="1">
      <c r="A42" s="17" t="s">
        <v>158</v>
      </c>
      <c r="B42" s="17">
        <v>1</v>
      </c>
      <c r="C42" s="17"/>
      <c r="D42" s="17">
        <v>3</v>
      </c>
      <c r="E42" s="17"/>
      <c r="F42" s="17">
        <v>5</v>
      </c>
      <c r="G42" s="17"/>
      <c r="H42" s="17"/>
      <c r="I42" s="17"/>
      <c r="J42" s="17">
        <v>111</v>
      </c>
      <c r="K42" s="25">
        <v>322</v>
      </c>
      <c r="L42" s="356" t="s">
        <v>26</v>
      </c>
      <c r="M42" s="439"/>
      <c r="N42" s="439"/>
      <c r="O42" s="440"/>
      <c r="P42" s="440"/>
      <c r="Q42" s="440"/>
      <c r="R42" s="429"/>
      <c r="S42" s="429"/>
      <c r="T42" s="437" t="e">
        <f t="shared" si="7"/>
        <v>#DIV/0!</v>
      </c>
      <c r="U42" s="429"/>
      <c r="V42" s="78"/>
      <c r="W42" s="78"/>
      <c r="X42" s="78"/>
      <c r="Y42" s="78"/>
      <c r="Z42" s="78"/>
      <c r="AA42" s="78"/>
      <c r="AB42" s="78"/>
      <c r="AC42" s="75"/>
      <c r="AD42" s="75"/>
      <c r="AE42" s="75"/>
      <c r="AF42" s="75"/>
      <c r="AG42" s="75"/>
      <c r="AH42" s="75"/>
      <c r="AI42" s="75"/>
      <c r="AJ42" s="75"/>
    </row>
    <row r="43" spans="1:36" s="44" customFormat="1" ht="15" customHeight="1" hidden="1">
      <c r="A43" s="17" t="s">
        <v>158</v>
      </c>
      <c r="B43" s="17">
        <v>1</v>
      </c>
      <c r="C43" s="17"/>
      <c r="D43" s="17">
        <v>3</v>
      </c>
      <c r="E43" s="17"/>
      <c r="F43" s="17">
        <v>5</v>
      </c>
      <c r="G43" s="17"/>
      <c r="H43" s="17"/>
      <c r="I43" s="17"/>
      <c r="J43" s="17">
        <v>111</v>
      </c>
      <c r="K43" s="24">
        <v>3221</v>
      </c>
      <c r="L43" s="50" t="s">
        <v>62</v>
      </c>
      <c r="M43" s="439"/>
      <c r="N43" s="439"/>
      <c r="O43" s="440"/>
      <c r="P43" s="440"/>
      <c r="Q43" s="440"/>
      <c r="R43" s="429"/>
      <c r="S43" s="429"/>
      <c r="T43" s="437" t="e">
        <f t="shared" si="7"/>
        <v>#DIV/0!</v>
      </c>
      <c r="U43" s="429"/>
      <c r="V43" s="78"/>
      <c r="W43" s="78"/>
      <c r="X43" s="78"/>
      <c r="Y43" s="78"/>
      <c r="Z43" s="78"/>
      <c r="AA43" s="78"/>
      <c r="AB43" s="78"/>
      <c r="AC43" s="75"/>
      <c r="AD43" s="75"/>
      <c r="AE43" s="75"/>
      <c r="AF43" s="75"/>
      <c r="AG43" s="75"/>
      <c r="AH43" s="75"/>
      <c r="AI43" s="75"/>
      <c r="AJ43" s="75"/>
    </row>
    <row r="44" spans="1:36" s="44" customFormat="1" ht="15" customHeight="1" hidden="1">
      <c r="A44" s="17" t="s">
        <v>158</v>
      </c>
      <c r="B44" s="17">
        <v>1</v>
      </c>
      <c r="C44" s="17"/>
      <c r="D44" s="17">
        <v>3</v>
      </c>
      <c r="E44" s="17"/>
      <c r="F44" s="17">
        <v>5</v>
      </c>
      <c r="G44" s="17"/>
      <c r="H44" s="17"/>
      <c r="I44" s="17"/>
      <c r="J44" s="17">
        <v>111</v>
      </c>
      <c r="K44" s="25">
        <v>323</v>
      </c>
      <c r="L44" s="356" t="s">
        <v>7</v>
      </c>
      <c r="M44" s="439"/>
      <c r="N44" s="439"/>
      <c r="O44" s="440"/>
      <c r="P44" s="440"/>
      <c r="Q44" s="440"/>
      <c r="R44" s="429"/>
      <c r="S44" s="429"/>
      <c r="T44" s="437" t="e">
        <f t="shared" si="7"/>
        <v>#DIV/0!</v>
      </c>
      <c r="U44" s="429"/>
      <c r="V44" s="78"/>
      <c r="W44" s="78"/>
      <c r="X44" s="78"/>
      <c r="Y44" s="78"/>
      <c r="Z44" s="78"/>
      <c r="AA44" s="78"/>
      <c r="AB44" s="78"/>
      <c r="AC44" s="75"/>
      <c r="AD44" s="75"/>
      <c r="AE44" s="75"/>
      <c r="AF44" s="75"/>
      <c r="AG44" s="75"/>
      <c r="AH44" s="75"/>
      <c r="AI44" s="75"/>
      <c r="AJ44" s="75"/>
    </row>
    <row r="45" spans="1:36" s="44" customFormat="1" ht="18" customHeight="1" hidden="1">
      <c r="A45" s="17" t="s">
        <v>158</v>
      </c>
      <c r="B45" s="17">
        <v>1</v>
      </c>
      <c r="C45" s="17"/>
      <c r="D45" s="17">
        <v>3</v>
      </c>
      <c r="E45" s="17"/>
      <c r="F45" s="17">
        <v>5</v>
      </c>
      <c r="G45" s="17"/>
      <c r="H45" s="17"/>
      <c r="I45" s="17"/>
      <c r="J45" s="17">
        <v>111</v>
      </c>
      <c r="K45" s="24">
        <v>3233</v>
      </c>
      <c r="L45" s="333" t="s">
        <v>133</v>
      </c>
      <c r="M45" s="439"/>
      <c r="N45" s="439"/>
      <c r="O45" s="440"/>
      <c r="P45" s="440"/>
      <c r="Q45" s="440"/>
      <c r="R45" s="429"/>
      <c r="S45" s="429"/>
      <c r="T45" s="437" t="e">
        <f t="shared" si="7"/>
        <v>#DIV/0!</v>
      </c>
      <c r="U45" s="429"/>
      <c r="V45" s="78"/>
      <c r="W45" s="78"/>
      <c r="X45" s="78"/>
      <c r="Y45" s="78"/>
      <c r="Z45" s="78"/>
      <c r="AA45" s="78"/>
      <c r="AB45" s="78"/>
      <c r="AC45" s="75"/>
      <c r="AD45" s="75"/>
      <c r="AE45" s="75"/>
      <c r="AF45" s="75"/>
      <c r="AG45" s="75"/>
      <c r="AH45" s="75"/>
      <c r="AI45" s="75"/>
      <c r="AJ45" s="75"/>
    </row>
    <row r="46" spans="1:36" s="44" customFormat="1" ht="0.75" customHeight="1" hidden="1">
      <c r="A46" s="17" t="s">
        <v>158</v>
      </c>
      <c r="B46" s="17">
        <v>1</v>
      </c>
      <c r="C46" s="17"/>
      <c r="D46" s="17">
        <v>3</v>
      </c>
      <c r="E46" s="17"/>
      <c r="F46" s="17">
        <v>5</v>
      </c>
      <c r="G46" s="17"/>
      <c r="H46" s="17"/>
      <c r="I46" s="17"/>
      <c r="J46" s="17">
        <v>111</v>
      </c>
      <c r="K46" s="25">
        <v>329</v>
      </c>
      <c r="L46" s="356" t="s">
        <v>34</v>
      </c>
      <c r="M46" s="439"/>
      <c r="N46" s="439"/>
      <c r="O46" s="440"/>
      <c r="P46" s="440"/>
      <c r="Q46" s="440"/>
      <c r="R46" s="429"/>
      <c r="S46" s="429"/>
      <c r="T46" s="437" t="e">
        <f t="shared" si="7"/>
        <v>#DIV/0!</v>
      </c>
      <c r="U46" s="429"/>
      <c r="V46" s="78"/>
      <c r="W46" s="78"/>
      <c r="X46" s="78"/>
      <c r="Y46" s="78"/>
      <c r="Z46" s="78"/>
      <c r="AA46" s="78"/>
      <c r="AB46" s="78"/>
      <c r="AC46" s="75"/>
      <c r="AD46" s="75"/>
      <c r="AE46" s="75"/>
      <c r="AF46" s="75"/>
      <c r="AG46" s="75"/>
      <c r="AH46" s="75"/>
      <c r="AI46" s="75"/>
      <c r="AJ46" s="75"/>
    </row>
    <row r="47" spans="1:36" s="44" customFormat="1" ht="21" customHeight="1" hidden="1" thickBot="1">
      <c r="A47" s="17" t="s">
        <v>158</v>
      </c>
      <c r="B47" s="17">
        <v>1</v>
      </c>
      <c r="C47" s="17"/>
      <c r="D47" s="17">
        <v>3</v>
      </c>
      <c r="E47" s="17"/>
      <c r="F47" s="17">
        <v>5</v>
      </c>
      <c r="G47" s="17"/>
      <c r="H47" s="17"/>
      <c r="I47" s="17"/>
      <c r="J47" s="17">
        <v>111</v>
      </c>
      <c r="K47" s="26">
        <v>3291</v>
      </c>
      <c r="L47" s="52" t="s">
        <v>259</v>
      </c>
      <c r="M47" s="439"/>
      <c r="N47" s="439"/>
      <c r="O47" s="440"/>
      <c r="P47" s="440"/>
      <c r="Q47" s="440"/>
      <c r="R47" s="429"/>
      <c r="S47" s="429"/>
      <c r="T47" s="437" t="e">
        <f t="shared" si="7"/>
        <v>#DIV/0!</v>
      </c>
      <c r="U47" s="429"/>
      <c r="V47" s="78"/>
      <c r="W47" s="78"/>
      <c r="X47" s="78"/>
      <c r="Y47" s="78"/>
      <c r="Z47" s="78"/>
      <c r="AA47" s="78"/>
      <c r="AB47" s="78"/>
      <c r="AC47" s="75"/>
      <c r="AD47" s="75"/>
      <c r="AE47" s="75"/>
      <c r="AF47" s="75"/>
      <c r="AG47" s="75"/>
      <c r="AH47" s="75"/>
      <c r="AI47" s="75"/>
      <c r="AJ47" s="75"/>
    </row>
    <row r="48" spans="1:36" s="44" customFormat="1" ht="14.25" customHeight="1" hidden="1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05"/>
      <c r="L48" s="206" t="s">
        <v>86</v>
      </c>
      <c r="M48" s="441"/>
      <c r="N48" s="441"/>
      <c r="O48" s="442"/>
      <c r="P48" s="442"/>
      <c r="Q48" s="442"/>
      <c r="R48" s="429"/>
      <c r="S48" s="429"/>
      <c r="T48" s="437" t="e">
        <f t="shared" si="7"/>
        <v>#DIV/0!</v>
      </c>
      <c r="U48" s="429"/>
      <c r="V48" s="78"/>
      <c r="W48" s="78"/>
      <c r="X48" s="78"/>
      <c r="Y48" s="78"/>
      <c r="Z48" s="78"/>
      <c r="AA48" s="78"/>
      <c r="AB48" s="78"/>
      <c r="AC48" s="75"/>
      <c r="AD48" s="75"/>
      <c r="AE48" s="75"/>
      <c r="AF48" s="75"/>
      <c r="AG48" s="75"/>
      <c r="AH48" s="75"/>
      <c r="AI48" s="75"/>
      <c r="AJ48" s="75"/>
    </row>
    <row r="49" spans="1:36" s="46" customFormat="1" ht="15.7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3"/>
      <c r="L49" s="53"/>
      <c r="M49" s="443"/>
      <c r="N49" s="443"/>
      <c r="O49" s="429"/>
      <c r="P49" s="429"/>
      <c r="Q49" s="429"/>
      <c r="R49" s="429"/>
      <c r="S49" s="429"/>
      <c r="T49" s="429"/>
      <c r="U49" s="429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78"/>
      <c r="AH49" s="78"/>
      <c r="AI49" s="78"/>
      <c r="AJ49" s="78"/>
    </row>
    <row r="50" spans="1:36" s="212" customFormat="1" ht="28.5" customHeight="1">
      <c r="A50" s="185" t="s">
        <v>157</v>
      </c>
      <c r="B50" s="79"/>
      <c r="C50" s="79"/>
      <c r="D50" s="79"/>
      <c r="E50" s="79"/>
      <c r="F50" s="79"/>
      <c r="G50" s="79"/>
      <c r="H50" s="79"/>
      <c r="I50" s="79"/>
      <c r="J50" s="79"/>
      <c r="K50" s="79" t="s">
        <v>51</v>
      </c>
      <c r="L50" s="336" t="s">
        <v>500</v>
      </c>
      <c r="M50" s="444"/>
      <c r="N50" s="444"/>
      <c r="O50" s="444"/>
      <c r="P50" s="444"/>
      <c r="Q50" s="444"/>
      <c r="R50" s="444"/>
      <c r="S50" s="444"/>
      <c r="T50" s="444"/>
      <c r="U50" s="444"/>
      <c r="V50" s="78"/>
      <c r="W50" s="78"/>
      <c r="X50" s="78"/>
      <c r="Y50" s="78"/>
      <c r="Z50" s="78"/>
      <c r="AA50" s="78"/>
      <c r="AB50" s="78"/>
      <c r="AC50" s="78"/>
      <c r="AD50" s="78"/>
      <c r="AE50" s="78"/>
      <c r="AF50" s="78"/>
      <c r="AG50" s="78"/>
      <c r="AH50" s="78"/>
      <c r="AI50" s="78"/>
      <c r="AJ50" s="78"/>
    </row>
    <row r="51" spans="1:28" s="75" customFormat="1" ht="15.75">
      <c r="A51" s="37" t="s">
        <v>158</v>
      </c>
      <c r="B51" s="37">
        <v>1</v>
      </c>
      <c r="C51" s="37"/>
      <c r="D51" s="37"/>
      <c r="E51" s="37"/>
      <c r="F51" s="37"/>
      <c r="G51" s="37"/>
      <c r="H51" s="37"/>
      <c r="I51" s="37"/>
      <c r="J51" s="37">
        <v>111</v>
      </c>
      <c r="K51" s="272">
        <v>3</v>
      </c>
      <c r="L51" s="273" t="s">
        <v>0</v>
      </c>
      <c r="M51" s="422">
        <f>M52</f>
        <v>4478.0675559094825</v>
      </c>
      <c r="N51" s="422">
        <f>N52</f>
        <v>6636.140420731303</v>
      </c>
      <c r="O51" s="437">
        <f aca="true" t="shared" si="8" ref="M51:S53">O52</f>
        <v>50000</v>
      </c>
      <c r="P51" s="437">
        <f t="shared" si="8"/>
        <v>6636.140420731303</v>
      </c>
      <c r="Q51" s="437">
        <f t="shared" si="8"/>
        <v>3318.08</v>
      </c>
      <c r="R51" s="437">
        <f t="shared" si="8"/>
        <v>9954.220000000001</v>
      </c>
      <c r="S51" s="437">
        <f t="shared" si="8"/>
        <v>9531.76</v>
      </c>
      <c r="T51" s="437">
        <f aca="true" t="shared" si="9" ref="T51:T56">S51/M51*100</f>
        <v>212.85431452282162</v>
      </c>
      <c r="U51" s="437">
        <f aca="true" t="shared" si="10" ref="U51:U56">S51/R51*100</f>
        <v>95.75597083448024</v>
      </c>
      <c r="V51" s="78"/>
      <c r="W51" s="78"/>
      <c r="X51" s="78"/>
      <c r="Y51" s="78"/>
      <c r="Z51" s="78"/>
      <c r="AA51" s="78"/>
      <c r="AB51" s="78"/>
    </row>
    <row r="52" spans="1:28" s="75" customFormat="1" ht="15.75" customHeight="1">
      <c r="A52" s="37" t="s">
        <v>158</v>
      </c>
      <c r="B52" s="37">
        <v>1</v>
      </c>
      <c r="C52" s="37"/>
      <c r="D52" s="37"/>
      <c r="E52" s="37"/>
      <c r="F52" s="37"/>
      <c r="G52" s="37"/>
      <c r="H52" s="37"/>
      <c r="I52" s="37"/>
      <c r="J52" s="37">
        <v>111</v>
      </c>
      <c r="K52" s="274">
        <v>38</v>
      </c>
      <c r="L52" s="278" t="s">
        <v>11</v>
      </c>
      <c r="M52" s="422">
        <f t="shared" si="8"/>
        <v>4478.0675559094825</v>
      </c>
      <c r="N52" s="422">
        <f t="shared" si="8"/>
        <v>6636.140420731303</v>
      </c>
      <c r="O52" s="437">
        <f t="shared" si="8"/>
        <v>50000</v>
      </c>
      <c r="P52" s="437">
        <f t="shared" si="8"/>
        <v>6636.140420731303</v>
      </c>
      <c r="Q52" s="437">
        <f t="shared" si="8"/>
        <v>3318.08</v>
      </c>
      <c r="R52" s="437">
        <f t="shared" si="8"/>
        <v>9954.220000000001</v>
      </c>
      <c r="S52" s="437">
        <f t="shared" si="8"/>
        <v>9531.76</v>
      </c>
      <c r="T52" s="437">
        <f t="shared" si="9"/>
        <v>212.85431452282162</v>
      </c>
      <c r="U52" s="437">
        <f t="shared" si="10"/>
        <v>95.75597083448024</v>
      </c>
      <c r="V52" s="78"/>
      <c r="W52" s="78"/>
      <c r="X52" s="78"/>
      <c r="Y52" s="78"/>
      <c r="Z52" s="78"/>
      <c r="AA52" s="78"/>
      <c r="AB52" s="78"/>
    </row>
    <row r="53" spans="1:28" s="75" customFormat="1" ht="16.5" customHeight="1">
      <c r="A53" s="37" t="s">
        <v>158</v>
      </c>
      <c r="B53" s="37">
        <v>1</v>
      </c>
      <c r="C53" s="37"/>
      <c r="D53" s="37"/>
      <c r="E53" s="37"/>
      <c r="F53" s="37"/>
      <c r="G53" s="37"/>
      <c r="H53" s="37"/>
      <c r="I53" s="37"/>
      <c r="J53" s="37">
        <v>111</v>
      </c>
      <c r="K53" s="272">
        <v>381</v>
      </c>
      <c r="L53" s="334" t="s">
        <v>12</v>
      </c>
      <c r="M53" s="422">
        <f>M54</f>
        <v>4478.0675559094825</v>
      </c>
      <c r="N53" s="422">
        <f>N54</f>
        <v>6636.140420731303</v>
      </c>
      <c r="O53" s="437">
        <f t="shared" si="8"/>
        <v>50000</v>
      </c>
      <c r="P53" s="437">
        <f t="shared" si="8"/>
        <v>6636.140420731303</v>
      </c>
      <c r="Q53" s="437">
        <f t="shared" si="8"/>
        <v>3318.08</v>
      </c>
      <c r="R53" s="437">
        <f t="shared" si="8"/>
        <v>9954.220000000001</v>
      </c>
      <c r="S53" s="437">
        <f t="shared" si="8"/>
        <v>9531.76</v>
      </c>
      <c r="T53" s="437">
        <f t="shared" si="9"/>
        <v>212.85431452282162</v>
      </c>
      <c r="U53" s="437">
        <f t="shared" si="10"/>
        <v>95.75597083448024</v>
      </c>
      <c r="V53" s="78"/>
      <c r="W53" s="78"/>
      <c r="X53" s="78"/>
      <c r="Y53" s="78"/>
      <c r="Z53" s="78"/>
      <c r="AA53" s="78"/>
      <c r="AB53" s="78"/>
    </row>
    <row r="54" spans="1:28" s="75" customFormat="1" ht="25.5" customHeight="1">
      <c r="A54" s="37" t="s">
        <v>158</v>
      </c>
      <c r="B54" s="37">
        <v>1</v>
      </c>
      <c r="C54" s="37"/>
      <c r="D54" s="37"/>
      <c r="E54" s="37"/>
      <c r="F54" s="37"/>
      <c r="G54" s="37"/>
      <c r="H54" s="37"/>
      <c r="I54" s="37"/>
      <c r="J54" s="37">
        <v>111</v>
      </c>
      <c r="K54" s="42">
        <v>3811</v>
      </c>
      <c r="L54" s="345" t="s">
        <v>76</v>
      </c>
      <c r="M54" s="422">
        <f>33740/7.5345</f>
        <v>4478.0675559094825</v>
      </c>
      <c r="N54" s="422">
        <f>50000/7.5345</f>
        <v>6636.140420731303</v>
      </c>
      <c r="O54" s="422">
        <v>50000</v>
      </c>
      <c r="P54" s="422">
        <f>50000/7.5345</f>
        <v>6636.140420731303</v>
      </c>
      <c r="Q54" s="422">
        <v>3318.08</v>
      </c>
      <c r="R54" s="422">
        <f>3318.08+6636.14</f>
        <v>9954.220000000001</v>
      </c>
      <c r="S54" s="422">
        <v>9531.76</v>
      </c>
      <c r="T54" s="437">
        <f t="shared" si="9"/>
        <v>212.85431452282162</v>
      </c>
      <c r="U54" s="437">
        <f t="shared" si="10"/>
        <v>95.75597083448024</v>
      </c>
      <c r="V54" s="78"/>
      <c r="W54" s="78"/>
      <c r="X54" s="78"/>
      <c r="Y54" s="78"/>
      <c r="Z54" s="78"/>
      <c r="AA54" s="78"/>
      <c r="AB54" s="78"/>
    </row>
    <row r="55" spans="1:36" s="128" customFormat="1" ht="15.75">
      <c r="A55" s="125"/>
      <c r="B55" s="125"/>
      <c r="C55" s="125"/>
      <c r="D55" s="125"/>
      <c r="E55" s="125"/>
      <c r="F55" s="125"/>
      <c r="G55" s="125"/>
      <c r="H55" s="125"/>
      <c r="I55" s="125"/>
      <c r="J55" s="125"/>
      <c r="K55" s="137"/>
      <c r="L55" s="362" t="s">
        <v>86</v>
      </c>
      <c r="M55" s="445">
        <f aca="true" t="shared" si="11" ref="M55:S55">M51</f>
        <v>4478.0675559094825</v>
      </c>
      <c r="N55" s="445">
        <f t="shared" si="11"/>
        <v>6636.140420731303</v>
      </c>
      <c r="O55" s="445">
        <f t="shared" si="11"/>
        <v>50000</v>
      </c>
      <c r="P55" s="445">
        <f t="shared" si="11"/>
        <v>6636.140420731303</v>
      </c>
      <c r="Q55" s="445">
        <f t="shared" si="11"/>
        <v>3318.08</v>
      </c>
      <c r="R55" s="445">
        <f t="shared" si="11"/>
        <v>9954.220000000001</v>
      </c>
      <c r="S55" s="445">
        <f t="shared" si="11"/>
        <v>9531.76</v>
      </c>
      <c r="T55" s="421">
        <f t="shared" si="9"/>
        <v>212.85431452282162</v>
      </c>
      <c r="U55" s="421">
        <f t="shared" si="10"/>
        <v>95.75597083448024</v>
      </c>
      <c r="V55" s="78"/>
      <c r="W55" s="78"/>
      <c r="X55" s="78"/>
      <c r="Y55" s="78"/>
      <c r="Z55" s="78"/>
      <c r="AA55" s="78"/>
      <c r="AB55" s="78"/>
      <c r="AC55" s="75"/>
      <c r="AD55" s="75"/>
      <c r="AE55" s="75"/>
      <c r="AF55" s="75"/>
      <c r="AG55" s="75"/>
      <c r="AH55" s="75"/>
      <c r="AI55" s="75"/>
      <c r="AJ55" s="75"/>
    </row>
    <row r="56" spans="1:36" s="190" customFormat="1" ht="15.75">
      <c r="A56" s="37"/>
      <c r="B56" s="37"/>
      <c r="C56" s="37"/>
      <c r="D56" s="37"/>
      <c r="E56" s="37"/>
      <c r="F56" s="37"/>
      <c r="G56" s="37"/>
      <c r="H56" s="37"/>
      <c r="I56" s="37"/>
      <c r="J56" s="37"/>
      <c r="K56" s="122"/>
      <c r="L56" s="357" t="s">
        <v>174</v>
      </c>
      <c r="M56" s="446">
        <f aca="true" t="shared" si="12" ref="M56:S56">M55+M36</f>
        <v>23703.364523193308</v>
      </c>
      <c r="N56" s="446">
        <f t="shared" si="12"/>
        <v>38755.060057070805</v>
      </c>
      <c r="O56" s="432">
        <f t="shared" si="12"/>
        <v>229556.04220585307</v>
      </c>
      <c r="P56" s="432">
        <f t="shared" si="12"/>
        <v>38755.060057070805</v>
      </c>
      <c r="Q56" s="432">
        <f t="shared" si="12"/>
        <v>16010.52</v>
      </c>
      <c r="R56" s="432">
        <f t="shared" si="12"/>
        <v>27955.57</v>
      </c>
      <c r="S56" s="432">
        <f t="shared" si="12"/>
        <v>34252.340000000004</v>
      </c>
      <c r="T56" s="432">
        <f t="shared" si="9"/>
        <v>144.50412711024512</v>
      </c>
      <c r="U56" s="446">
        <f t="shared" si="10"/>
        <v>122.52420537302586</v>
      </c>
      <c r="V56" s="78"/>
      <c r="W56" s="78"/>
      <c r="X56" s="78"/>
      <c r="Y56" s="78"/>
      <c r="Z56" s="78"/>
      <c r="AA56" s="78"/>
      <c r="AB56" s="78"/>
      <c r="AC56" s="75"/>
      <c r="AD56" s="75"/>
      <c r="AE56" s="75"/>
      <c r="AF56" s="75"/>
      <c r="AG56" s="75"/>
      <c r="AH56" s="75"/>
      <c r="AI56" s="75"/>
      <c r="AJ56" s="75"/>
    </row>
    <row r="57" spans="1:36" s="46" customFormat="1" ht="15.75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3"/>
      <c r="L57" s="54"/>
      <c r="M57" s="447"/>
      <c r="N57" s="447"/>
      <c r="O57" s="429"/>
      <c r="P57" s="429"/>
      <c r="Q57" s="429"/>
      <c r="R57" s="429"/>
      <c r="S57" s="429"/>
      <c r="T57" s="429"/>
      <c r="U57" s="429"/>
      <c r="V57" s="78"/>
      <c r="W57" s="78"/>
      <c r="X57" s="78"/>
      <c r="Y57" s="78"/>
      <c r="Z57" s="78"/>
      <c r="AA57" s="78"/>
      <c r="AB57" s="78"/>
      <c r="AC57" s="78"/>
      <c r="AD57" s="78"/>
      <c r="AE57" s="78"/>
      <c r="AF57" s="78"/>
      <c r="AG57" s="78"/>
      <c r="AH57" s="78"/>
      <c r="AI57" s="78"/>
      <c r="AJ57" s="78"/>
    </row>
    <row r="58" spans="1:36" s="216" customFormat="1" ht="22.5" customHeight="1">
      <c r="A58" s="213"/>
      <c r="B58" s="213"/>
      <c r="C58" s="213"/>
      <c r="D58" s="213"/>
      <c r="E58" s="213"/>
      <c r="F58" s="213"/>
      <c r="G58" s="213"/>
      <c r="H58" s="213"/>
      <c r="I58" s="213"/>
      <c r="J58" s="213"/>
      <c r="K58" s="211" t="s">
        <v>127</v>
      </c>
      <c r="L58" s="360" t="s">
        <v>159</v>
      </c>
      <c r="M58" s="448"/>
      <c r="N58" s="448"/>
      <c r="O58" s="448"/>
      <c r="P58" s="448"/>
      <c r="Q58" s="448"/>
      <c r="R58" s="448"/>
      <c r="S58" s="448"/>
      <c r="T58" s="448"/>
      <c r="U58" s="448"/>
      <c r="V58" s="78"/>
      <c r="W58" s="78"/>
      <c r="X58" s="78"/>
      <c r="Y58" s="78"/>
      <c r="Z58" s="78"/>
      <c r="AA58" s="78"/>
      <c r="AB58" s="78"/>
      <c r="AC58" s="78"/>
      <c r="AD58" s="78"/>
      <c r="AE58" s="78"/>
      <c r="AF58" s="78"/>
      <c r="AG58" s="78"/>
      <c r="AH58" s="78"/>
      <c r="AI58" s="78"/>
      <c r="AJ58" s="78"/>
    </row>
    <row r="59" spans="1:36" s="212" customFormat="1" ht="26.25" customHeight="1">
      <c r="A59" s="79" t="s">
        <v>160</v>
      </c>
      <c r="B59" s="79"/>
      <c r="C59" s="79"/>
      <c r="D59" s="79"/>
      <c r="E59" s="79"/>
      <c r="F59" s="79"/>
      <c r="G59" s="79"/>
      <c r="H59" s="79"/>
      <c r="I59" s="79"/>
      <c r="J59" s="79"/>
      <c r="K59" s="41" t="s">
        <v>252</v>
      </c>
      <c r="L59" s="614" t="s">
        <v>345</v>
      </c>
      <c r="M59" s="430"/>
      <c r="N59" s="430"/>
      <c r="O59" s="430"/>
      <c r="P59" s="430"/>
      <c r="Q59" s="430"/>
      <c r="R59" s="430"/>
      <c r="S59" s="430"/>
      <c r="T59" s="430"/>
      <c r="U59" s="430"/>
      <c r="V59" s="78"/>
      <c r="W59" s="78"/>
      <c r="X59" s="78"/>
      <c r="Y59" s="78"/>
      <c r="Z59" s="78"/>
      <c r="AA59" s="78"/>
      <c r="AB59" s="78"/>
      <c r="AC59" s="78"/>
      <c r="AD59" s="78"/>
      <c r="AE59" s="78"/>
      <c r="AF59" s="78"/>
      <c r="AG59" s="78"/>
      <c r="AH59" s="78"/>
      <c r="AI59" s="78"/>
      <c r="AJ59" s="78"/>
    </row>
    <row r="60" spans="1:36" s="212" customFormat="1" ht="41.25" customHeight="1">
      <c r="A60" s="79" t="s">
        <v>161</v>
      </c>
      <c r="B60" s="79"/>
      <c r="C60" s="79"/>
      <c r="D60" s="79"/>
      <c r="E60" s="79"/>
      <c r="F60" s="79"/>
      <c r="G60" s="79"/>
      <c r="H60" s="79"/>
      <c r="I60" s="79"/>
      <c r="J60" s="79"/>
      <c r="K60" s="41" t="s">
        <v>346</v>
      </c>
      <c r="L60" s="614"/>
      <c r="M60" s="430"/>
      <c r="N60" s="430"/>
      <c r="O60" s="430"/>
      <c r="P60" s="430"/>
      <c r="Q60" s="430"/>
      <c r="R60" s="430"/>
      <c r="S60" s="430"/>
      <c r="T60" s="430"/>
      <c r="U60" s="430"/>
      <c r="V60" s="78"/>
      <c r="W60" s="78"/>
      <c r="X60" s="78"/>
      <c r="Y60" s="78"/>
      <c r="Z60" s="78"/>
      <c r="AA60" s="78"/>
      <c r="AB60" s="78"/>
      <c r="AC60" s="78"/>
      <c r="AD60" s="78"/>
      <c r="AE60" s="78"/>
      <c r="AF60" s="78"/>
      <c r="AG60" s="78"/>
      <c r="AH60" s="78"/>
      <c r="AI60" s="78"/>
      <c r="AJ60" s="78"/>
    </row>
    <row r="61" spans="1:28" s="75" customFormat="1" ht="15">
      <c r="A61" s="37" t="s">
        <v>161</v>
      </c>
      <c r="B61" s="37">
        <v>1</v>
      </c>
      <c r="C61" s="37"/>
      <c r="D61" s="37">
        <v>3</v>
      </c>
      <c r="E61" s="37"/>
      <c r="F61" s="37"/>
      <c r="G61" s="37"/>
      <c r="H61" s="37"/>
      <c r="I61" s="37"/>
      <c r="J61" s="37">
        <v>111</v>
      </c>
      <c r="K61" s="274">
        <v>3</v>
      </c>
      <c r="L61" s="358" t="s">
        <v>0</v>
      </c>
      <c r="M61" s="422">
        <f aca="true" t="shared" si="13" ref="M61:S61">M62</f>
        <v>0</v>
      </c>
      <c r="N61" s="422">
        <f t="shared" si="13"/>
        <v>6636.140420731303</v>
      </c>
      <c r="O61" s="437">
        <f t="shared" si="13"/>
        <v>50000</v>
      </c>
      <c r="P61" s="437">
        <f t="shared" si="13"/>
        <v>6636.140420731303</v>
      </c>
      <c r="Q61" s="437">
        <f t="shared" si="13"/>
        <v>0</v>
      </c>
      <c r="R61" s="437">
        <f t="shared" si="13"/>
        <v>0</v>
      </c>
      <c r="S61" s="437">
        <f t="shared" si="13"/>
        <v>0</v>
      </c>
      <c r="T61" s="437" t="e">
        <f>S61/M61*100</f>
        <v>#DIV/0!</v>
      </c>
      <c r="U61" s="437" t="e">
        <f>S61/R61*100</f>
        <v>#DIV/0!</v>
      </c>
      <c r="V61" s="78"/>
      <c r="W61" s="78"/>
      <c r="X61" s="78"/>
      <c r="Y61" s="78"/>
      <c r="Z61" s="78"/>
      <c r="AA61" s="78"/>
      <c r="AB61" s="78"/>
    </row>
    <row r="62" spans="1:28" s="75" customFormat="1" ht="15">
      <c r="A62" s="37" t="s">
        <v>161</v>
      </c>
      <c r="B62" s="37">
        <v>1</v>
      </c>
      <c r="C62" s="37"/>
      <c r="D62" s="37">
        <v>3</v>
      </c>
      <c r="E62" s="37"/>
      <c r="F62" s="37"/>
      <c r="G62" s="37"/>
      <c r="H62" s="37"/>
      <c r="I62" s="37"/>
      <c r="J62" s="37">
        <v>111</v>
      </c>
      <c r="K62" s="274">
        <v>32</v>
      </c>
      <c r="L62" s="358" t="s">
        <v>5</v>
      </c>
      <c r="M62" s="422">
        <f aca="true" t="shared" si="14" ref="M62:S62">M63+M68</f>
        <v>0</v>
      </c>
      <c r="N62" s="422">
        <f t="shared" si="14"/>
        <v>6636.140420731303</v>
      </c>
      <c r="O62" s="437">
        <f t="shared" si="14"/>
        <v>50000</v>
      </c>
      <c r="P62" s="437">
        <f t="shared" si="14"/>
        <v>6636.140420731303</v>
      </c>
      <c r="Q62" s="437">
        <f t="shared" si="14"/>
        <v>0</v>
      </c>
      <c r="R62" s="437">
        <f t="shared" si="14"/>
        <v>0</v>
      </c>
      <c r="S62" s="437">
        <f t="shared" si="14"/>
        <v>0</v>
      </c>
      <c r="T62" s="437" t="e">
        <f aca="true" t="shared" si="15" ref="T62:T71">S62/M62*100</f>
        <v>#DIV/0!</v>
      </c>
      <c r="U62" s="437" t="e">
        <f aca="true" t="shared" si="16" ref="U62:U71">S62/R62*100</f>
        <v>#DIV/0!</v>
      </c>
      <c r="V62" s="78"/>
      <c r="W62" s="78"/>
      <c r="X62" s="78"/>
      <c r="Y62" s="78"/>
      <c r="Z62" s="78"/>
      <c r="AA62" s="78"/>
      <c r="AB62" s="78"/>
    </row>
    <row r="63" spans="1:28" s="75" customFormat="1" ht="15.75" customHeight="1">
      <c r="A63" s="37" t="s">
        <v>161</v>
      </c>
      <c r="B63" s="37">
        <v>1</v>
      </c>
      <c r="C63" s="37"/>
      <c r="D63" s="37">
        <v>3</v>
      </c>
      <c r="E63" s="37"/>
      <c r="F63" s="37"/>
      <c r="G63" s="37"/>
      <c r="H63" s="37"/>
      <c r="I63" s="37"/>
      <c r="J63" s="37">
        <v>111</v>
      </c>
      <c r="K63" s="272">
        <v>322</v>
      </c>
      <c r="L63" s="334" t="s">
        <v>26</v>
      </c>
      <c r="M63" s="422">
        <f aca="true" t="shared" si="17" ref="M63:S63">M64</f>
        <v>0</v>
      </c>
      <c r="N63" s="422">
        <f t="shared" si="17"/>
        <v>0</v>
      </c>
      <c r="O63" s="437">
        <f t="shared" si="17"/>
        <v>0</v>
      </c>
      <c r="P63" s="437">
        <f t="shared" si="17"/>
        <v>0</v>
      </c>
      <c r="Q63" s="437">
        <f t="shared" si="17"/>
        <v>0</v>
      </c>
      <c r="R63" s="437">
        <f t="shared" si="17"/>
        <v>0</v>
      </c>
      <c r="S63" s="437">
        <f t="shared" si="17"/>
        <v>0</v>
      </c>
      <c r="T63" s="437" t="e">
        <f t="shared" si="15"/>
        <v>#DIV/0!</v>
      </c>
      <c r="U63" s="437" t="e">
        <f t="shared" si="16"/>
        <v>#DIV/0!</v>
      </c>
      <c r="V63" s="78"/>
      <c r="W63" s="78"/>
      <c r="X63" s="78"/>
      <c r="Y63" s="78"/>
      <c r="Z63" s="78"/>
      <c r="AA63" s="78"/>
      <c r="AB63" s="78"/>
    </row>
    <row r="64" spans="1:28" s="75" customFormat="1" ht="15" customHeight="1">
      <c r="A64" s="37" t="s">
        <v>161</v>
      </c>
      <c r="B64" s="37">
        <v>1</v>
      </c>
      <c r="C64" s="37"/>
      <c r="D64" s="37">
        <v>3</v>
      </c>
      <c r="E64" s="37"/>
      <c r="F64" s="37"/>
      <c r="G64" s="37"/>
      <c r="H64" s="37"/>
      <c r="I64" s="37"/>
      <c r="J64" s="37">
        <v>111</v>
      </c>
      <c r="K64" s="42">
        <v>3221</v>
      </c>
      <c r="L64" s="345" t="s">
        <v>134</v>
      </c>
      <c r="M64" s="422">
        <f>0</f>
        <v>0</v>
      </c>
      <c r="N64" s="422">
        <v>0</v>
      </c>
      <c r="O64" s="422">
        <v>0</v>
      </c>
      <c r="P64" s="422">
        <v>0</v>
      </c>
      <c r="Q64" s="422">
        <v>0</v>
      </c>
      <c r="R64" s="422"/>
      <c r="S64" s="422"/>
      <c r="T64" s="437" t="e">
        <f t="shared" si="15"/>
        <v>#DIV/0!</v>
      </c>
      <c r="U64" s="437" t="e">
        <f t="shared" si="16"/>
        <v>#DIV/0!</v>
      </c>
      <c r="V64" s="78"/>
      <c r="W64" s="78"/>
      <c r="X64" s="78"/>
      <c r="Y64" s="78"/>
      <c r="Z64" s="78"/>
      <c r="AA64" s="78"/>
      <c r="AB64" s="78"/>
    </row>
    <row r="65" spans="1:28" s="75" customFormat="1" ht="16.5" customHeight="1">
      <c r="A65" s="37" t="s">
        <v>161</v>
      </c>
      <c r="B65" s="37">
        <v>1</v>
      </c>
      <c r="C65" s="37"/>
      <c r="D65" s="37">
        <v>3</v>
      </c>
      <c r="E65" s="37"/>
      <c r="F65" s="37"/>
      <c r="G65" s="37"/>
      <c r="H65" s="37"/>
      <c r="I65" s="37"/>
      <c r="J65" s="37">
        <v>111</v>
      </c>
      <c r="K65" s="42">
        <v>3223</v>
      </c>
      <c r="L65" s="345" t="s">
        <v>63</v>
      </c>
      <c r="M65" s="422">
        <v>0</v>
      </c>
      <c r="N65" s="422"/>
      <c r="O65" s="422"/>
      <c r="P65" s="422"/>
      <c r="Q65" s="422"/>
      <c r="R65" s="422"/>
      <c r="S65" s="422"/>
      <c r="T65" s="437" t="e">
        <f t="shared" si="15"/>
        <v>#DIV/0!</v>
      </c>
      <c r="U65" s="437" t="e">
        <f t="shared" si="16"/>
        <v>#DIV/0!</v>
      </c>
      <c r="V65" s="78"/>
      <c r="W65" s="78"/>
      <c r="X65" s="78"/>
      <c r="Y65" s="78"/>
      <c r="Z65" s="78"/>
      <c r="AA65" s="78"/>
      <c r="AB65" s="78"/>
    </row>
    <row r="66" spans="1:28" s="75" customFormat="1" ht="20.25" customHeight="1">
      <c r="A66" s="37" t="s">
        <v>161</v>
      </c>
      <c r="B66" s="37">
        <v>1</v>
      </c>
      <c r="C66" s="37"/>
      <c r="D66" s="37">
        <v>3</v>
      </c>
      <c r="E66" s="37"/>
      <c r="F66" s="37"/>
      <c r="G66" s="37"/>
      <c r="H66" s="37"/>
      <c r="I66" s="37"/>
      <c r="J66" s="37">
        <v>111</v>
      </c>
      <c r="K66" s="35">
        <v>323</v>
      </c>
      <c r="L66" s="370" t="s">
        <v>7</v>
      </c>
      <c r="M66" s="422">
        <f>M67</f>
        <v>0</v>
      </c>
      <c r="N66" s="422"/>
      <c r="O66" s="422"/>
      <c r="P66" s="422"/>
      <c r="Q66" s="422"/>
      <c r="R66" s="422"/>
      <c r="S66" s="422"/>
      <c r="T66" s="437" t="e">
        <f t="shared" si="15"/>
        <v>#DIV/0!</v>
      </c>
      <c r="U66" s="437" t="e">
        <f t="shared" si="16"/>
        <v>#DIV/0!</v>
      </c>
      <c r="V66" s="78"/>
      <c r="W66" s="78"/>
      <c r="X66" s="78"/>
      <c r="Y66" s="78"/>
      <c r="Z66" s="78"/>
      <c r="AA66" s="78"/>
      <c r="AB66" s="78"/>
    </row>
    <row r="67" spans="1:28" s="75" customFormat="1" ht="16.5" customHeight="1">
      <c r="A67" s="37" t="s">
        <v>161</v>
      </c>
      <c r="B67" s="37">
        <v>1</v>
      </c>
      <c r="C67" s="37"/>
      <c r="D67" s="37">
        <v>3</v>
      </c>
      <c r="E67" s="37"/>
      <c r="F67" s="37"/>
      <c r="G67" s="37"/>
      <c r="H67" s="37"/>
      <c r="I67" s="37"/>
      <c r="J67" s="37">
        <v>111</v>
      </c>
      <c r="K67" s="42">
        <v>3234</v>
      </c>
      <c r="L67" s="345" t="s">
        <v>67</v>
      </c>
      <c r="M67" s="422">
        <v>0</v>
      </c>
      <c r="N67" s="422"/>
      <c r="O67" s="422"/>
      <c r="P67" s="422"/>
      <c r="Q67" s="422"/>
      <c r="R67" s="422"/>
      <c r="S67" s="422"/>
      <c r="T67" s="437" t="e">
        <f t="shared" si="15"/>
        <v>#DIV/0!</v>
      </c>
      <c r="U67" s="437" t="e">
        <f t="shared" si="16"/>
        <v>#DIV/0!</v>
      </c>
      <c r="V67" s="78"/>
      <c r="W67" s="78"/>
      <c r="X67" s="78"/>
      <c r="Y67" s="78"/>
      <c r="Z67" s="78"/>
      <c r="AA67" s="78"/>
      <c r="AB67" s="78"/>
    </row>
    <row r="68" spans="1:28" s="75" customFormat="1" ht="15" customHeight="1">
      <c r="A68" s="37" t="s">
        <v>161</v>
      </c>
      <c r="B68" s="37">
        <v>1</v>
      </c>
      <c r="C68" s="37"/>
      <c r="D68" s="37">
        <v>3</v>
      </c>
      <c r="E68" s="37"/>
      <c r="F68" s="37"/>
      <c r="G68" s="37"/>
      <c r="H68" s="37"/>
      <c r="I68" s="37"/>
      <c r="J68" s="37">
        <v>111</v>
      </c>
      <c r="K68" s="272">
        <v>329</v>
      </c>
      <c r="L68" s="277" t="s">
        <v>34</v>
      </c>
      <c r="M68" s="422">
        <f aca="true" t="shared" si="18" ref="M68:S68">M69+M70</f>
        <v>0</v>
      </c>
      <c r="N68" s="422">
        <f t="shared" si="18"/>
        <v>6636.140420731303</v>
      </c>
      <c r="O68" s="437">
        <f t="shared" si="18"/>
        <v>50000</v>
      </c>
      <c r="P68" s="437">
        <f t="shared" si="18"/>
        <v>6636.140420731303</v>
      </c>
      <c r="Q68" s="437">
        <f t="shared" si="18"/>
        <v>0</v>
      </c>
      <c r="R68" s="437">
        <f t="shared" si="18"/>
        <v>0</v>
      </c>
      <c r="S68" s="437">
        <f t="shared" si="18"/>
        <v>0</v>
      </c>
      <c r="T68" s="437" t="e">
        <f t="shared" si="15"/>
        <v>#DIV/0!</v>
      </c>
      <c r="U68" s="437" t="e">
        <f t="shared" si="16"/>
        <v>#DIV/0!</v>
      </c>
      <c r="V68" s="78"/>
      <c r="W68" s="78"/>
      <c r="X68" s="78"/>
      <c r="Y68" s="78"/>
      <c r="Z68" s="78"/>
      <c r="AA68" s="78"/>
      <c r="AB68" s="78"/>
    </row>
    <row r="69" spans="1:28" s="75" customFormat="1" ht="19.5" customHeight="1">
      <c r="A69" s="37" t="s">
        <v>161</v>
      </c>
      <c r="B69" s="37">
        <v>1</v>
      </c>
      <c r="C69" s="37"/>
      <c r="D69" s="37">
        <v>3</v>
      </c>
      <c r="E69" s="37"/>
      <c r="F69" s="37"/>
      <c r="G69" s="37"/>
      <c r="H69" s="37"/>
      <c r="I69" s="37"/>
      <c r="J69" s="37">
        <v>111</v>
      </c>
      <c r="K69" s="42">
        <v>3291</v>
      </c>
      <c r="L69" s="345" t="s">
        <v>317</v>
      </c>
      <c r="M69" s="422"/>
      <c r="N69" s="422">
        <f>50000/7.5345</f>
        <v>6636.140420731303</v>
      </c>
      <c r="O69" s="422">
        <v>50000</v>
      </c>
      <c r="P69" s="422">
        <f>50000/7.5345</f>
        <v>6636.140420731303</v>
      </c>
      <c r="Q69" s="422">
        <f>1827.05-1827.05</f>
        <v>0</v>
      </c>
      <c r="R69" s="422"/>
      <c r="S69" s="422"/>
      <c r="T69" s="437" t="e">
        <f t="shared" si="15"/>
        <v>#DIV/0!</v>
      </c>
      <c r="U69" s="437" t="e">
        <f t="shared" si="16"/>
        <v>#DIV/0!</v>
      </c>
      <c r="V69" s="78"/>
      <c r="W69" s="78"/>
      <c r="X69" s="78"/>
      <c r="Y69" s="78"/>
      <c r="Z69" s="78"/>
      <c r="AA69" s="78"/>
      <c r="AB69" s="78"/>
    </row>
    <row r="70" spans="1:28" s="75" customFormat="1" ht="23.25" customHeight="1">
      <c r="A70" s="37" t="s">
        <v>161</v>
      </c>
      <c r="B70" s="37">
        <v>1</v>
      </c>
      <c r="C70" s="37"/>
      <c r="D70" s="37">
        <v>3</v>
      </c>
      <c r="E70" s="37"/>
      <c r="F70" s="37"/>
      <c r="G70" s="37"/>
      <c r="H70" s="37"/>
      <c r="I70" s="37"/>
      <c r="J70" s="37">
        <v>111</v>
      </c>
      <c r="K70" s="36">
        <v>3291</v>
      </c>
      <c r="L70" s="345" t="s">
        <v>135</v>
      </c>
      <c r="M70" s="422">
        <v>0</v>
      </c>
      <c r="N70" s="422">
        <v>0</v>
      </c>
      <c r="O70" s="422">
        <v>0</v>
      </c>
      <c r="P70" s="422">
        <v>0</v>
      </c>
      <c r="Q70" s="422">
        <v>0</v>
      </c>
      <c r="R70" s="422"/>
      <c r="S70" s="422"/>
      <c r="T70" s="437" t="e">
        <f t="shared" si="15"/>
        <v>#DIV/0!</v>
      </c>
      <c r="U70" s="437" t="e">
        <f t="shared" si="16"/>
        <v>#DIV/0!</v>
      </c>
      <c r="V70" s="78"/>
      <c r="W70" s="78"/>
      <c r="X70" s="78"/>
      <c r="Y70" s="78"/>
      <c r="Z70" s="78"/>
      <c r="AA70" s="78"/>
      <c r="AB70" s="78"/>
    </row>
    <row r="71" spans="1:36" s="128" customFormat="1" ht="15.75">
      <c r="A71" s="125"/>
      <c r="B71" s="125"/>
      <c r="C71" s="125"/>
      <c r="D71" s="125"/>
      <c r="E71" s="125"/>
      <c r="F71" s="125"/>
      <c r="G71" s="125"/>
      <c r="H71" s="125"/>
      <c r="I71" s="125"/>
      <c r="J71" s="125"/>
      <c r="K71" s="126"/>
      <c r="L71" s="127" t="s">
        <v>86</v>
      </c>
      <c r="M71" s="421">
        <f aca="true" t="shared" si="19" ref="M71:S71">M61</f>
        <v>0</v>
      </c>
      <c r="N71" s="421">
        <f t="shared" si="19"/>
        <v>6636.140420731303</v>
      </c>
      <c r="O71" s="421">
        <f t="shared" si="19"/>
        <v>50000</v>
      </c>
      <c r="P71" s="421">
        <f t="shared" si="19"/>
        <v>6636.140420731303</v>
      </c>
      <c r="Q71" s="421">
        <f t="shared" si="19"/>
        <v>0</v>
      </c>
      <c r="R71" s="421">
        <f t="shared" si="19"/>
        <v>0</v>
      </c>
      <c r="S71" s="421">
        <f t="shared" si="19"/>
        <v>0</v>
      </c>
      <c r="T71" s="421" t="e">
        <f t="shared" si="15"/>
        <v>#DIV/0!</v>
      </c>
      <c r="U71" s="421" t="e">
        <f t="shared" si="16"/>
        <v>#DIV/0!</v>
      </c>
      <c r="V71" s="78"/>
      <c r="W71" s="78"/>
      <c r="X71" s="78"/>
      <c r="Y71" s="78"/>
      <c r="Z71" s="78"/>
      <c r="AA71" s="78"/>
      <c r="AB71" s="78"/>
      <c r="AC71" s="75"/>
      <c r="AD71" s="75"/>
      <c r="AE71" s="75"/>
      <c r="AF71" s="75"/>
      <c r="AG71" s="75"/>
      <c r="AH71" s="75"/>
      <c r="AI71" s="75"/>
      <c r="AJ71" s="75"/>
    </row>
    <row r="72" spans="1:36" s="46" customFormat="1" ht="15.75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3"/>
      <c r="L72" s="53"/>
      <c r="M72" s="429"/>
      <c r="N72" s="429"/>
      <c r="O72" s="429"/>
      <c r="P72" s="429"/>
      <c r="Q72" s="429"/>
      <c r="R72" s="429"/>
      <c r="S72" s="429"/>
      <c r="T72" s="429"/>
      <c r="U72" s="429"/>
      <c r="V72" s="78"/>
      <c r="W72" s="78"/>
      <c r="X72" s="78"/>
      <c r="Y72" s="78"/>
      <c r="Z72" s="78"/>
      <c r="AA72" s="78"/>
      <c r="AB72" s="78"/>
      <c r="AC72" s="78"/>
      <c r="AD72" s="78"/>
      <c r="AE72" s="78"/>
      <c r="AF72" s="78"/>
      <c r="AG72" s="78"/>
      <c r="AH72" s="78"/>
      <c r="AI72" s="78"/>
      <c r="AJ72" s="78"/>
    </row>
    <row r="73" spans="1:36" s="212" customFormat="1" ht="32.25" customHeight="1">
      <c r="A73" s="79" t="s">
        <v>333</v>
      </c>
      <c r="B73" s="79"/>
      <c r="C73" s="79"/>
      <c r="D73" s="79"/>
      <c r="E73" s="79"/>
      <c r="F73" s="79"/>
      <c r="G73" s="79"/>
      <c r="H73" s="79"/>
      <c r="I73" s="79"/>
      <c r="J73" s="79"/>
      <c r="K73" s="41" t="s">
        <v>25</v>
      </c>
      <c r="L73" s="368" t="s">
        <v>490</v>
      </c>
      <c r="M73" s="430"/>
      <c r="N73" s="430"/>
      <c r="O73" s="430"/>
      <c r="P73" s="430"/>
      <c r="Q73" s="430"/>
      <c r="R73" s="430"/>
      <c r="S73" s="430"/>
      <c r="T73" s="430"/>
      <c r="U73" s="430"/>
      <c r="V73" s="78"/>
      <c r="W73" s="78"/>
      <c r="X73" s="78"/>
      <c r="Y73" s="78"/>
      <c r="Z73" s="78"/>
      <c r="AA73" s="78"/>
      <c r="AB73" s="78"/>
      <c r="AC73" s="78"/>
      <c r="AD73" s="78"/>
      <c r="AE73" s="78"/>
      <c r="AF73" s="78"/>
      <c r="AG73" s="78"/>
      <c r="AH73" s="78"/>
      <c r="AI73" s="78"/>
      <c r="AJ73" s="78"/>
    </row>
    <row r="74" spans="1:28" s="75" customFormat="1" ht="15.75">
      <c r="A74" s="37" t="s">
        <v>333</v>
      </c>
      <c r="B74" s="37">
        <v>1</v>
      </c>
      <c r="C74" s="37"/>
      <c r="D74" s="37">
        <v>3</v>
      </c>
      <c r="E74" s="37"/>
      <c r="F74" s="37"/>
      <c r="G74" s="37"/>
      <c r="H74" s="37"/>
      <c r="I74" s="37"/>
      <c r="J74" s="37">
        <v>111</v>
      </c>
      <c r="K74" s="272">
        <v>3</v>
      </c>
      <c r="L74" s="334" t="s">
        <v>0</v>
      </c>
      <c r="M74" s="422">
        <f aca="true" t="shared" si="20" ref="M74:S74">M75</f>
        <v>0</v>
      </c>
      <c r="N74" s="422">
        <f t="shared" si="20"/>
        <v>1327.2280841462605</v>
      </c>
      <c r="O74" s="437">
        <f t="shared" si="20"/>
        <v>10000</v>
      </c>
      <c r="P74" s="437">
        <f t="shared" si="20"/>
        <v>1327.2280841462605</v>
      </c>
      <c r="Q74" s="437">
        <f t="shared" si="20"/>
        <v>0</v>
      </c>
      <c r="R74" s="437">
        <f t="shared" si="20"/>
        <v>0</v>
      </c>
      <c r="S74" s="437">
        <f t="shared" si="20"/>
        <v>0</v>
      </c>
      <c r="T74" s="437" t="e">
        <f>S74/M74*100</f>
        <v>#DIV/0!</v>
      </c>
      <c r="U74" s="437" t="e">
        <f>S74/R74*100</f>
        <v>#DIV/0!</v>
      </c>
      <c r="V74" s="78"/>
      <c r="W74" s="78"/>
      <c r="X74" s="78"/>
      <c r="Y74" s="78"/>
      <c r="Z74" s="78"/>
      <c r="AA74" s="78"/>
      <c r="AB74" s="78"/>
    </row>
    <row r="75" spans="1:28" s="75" customFormat="1" ht="15">
      <c r="A75" s="37" t="s">
        <v>333</v>
      </c>
      <c r="B75" s="37">
        <v>1</v>
      </c>
      <c r="C75" s="37"/>
      <c r="D75" s="37">
        <v>3</v>
      </c>
      <c r="E75" s="37"/>
      <c r="F75" s="37"/>
      <c r="G75" s="37"/>
      <c r="H75" s="37"/>
      <c r="I75" s="37"/>
      <c r="J75" s="37">
        <v>111</v>
      </c>
      <c r="K75" s="274">
        <v>32</v>
      </c>
      <c r="L75" s="358" t="s">
        <v>5</v>
      </c>
      <c r="M75" s="422">
        <f aca="true" t="shared" si="21" ref="M75:S75">M76+M78</f>
        <v>0</v>
      </c>
      <c r="N75" s="422">
        <f t="shared" si="21"/>
        <v>1327.2280841462605</v>
      </c>
      <c r="O75" s="437">
        <f t="shared" si="21"/>
        <v>10000</v>
      </c>
      <c r="P75" s="437">
        <f t="shared" si="21"/>
        <v>1327.2280841462605</v>
      </c>
      <c r="Q75" s="437">
        <f t="shared" si="21"/>
        <v>0</v>
      </c>
      <c r="R75" s="437">
        <f t="shared" si="21"/>
        <v>0</v>
      </c>
      <c r="S75" s="437">
        <f t="shared" si="21"/>
        <v>0</v>
      </c>
      <c r="T75" s="437" t="e">
        <f aca="true" t="shared" si="22" ref="T75:T81">S75/M75*100</f>
        <v>#DIV/0!</v>
      </c>
      <c r="U75" s="437" t="e">
        <f aca="true" t="shared" si="23" ref="U75:U81">S75/R75*100</f>
        <v>#DIV/0!</v>
      </c>
      <c r="V75" s="78"/>
      <c r="W75" s="78"/>
      <c r="X75" s="78"/>
      <c r="Y75" s="78"/>
      <c r="Z75" s="78"/>
      <c r="AA75" s="78"/>
      <c r="AB75" s="78"/>
    </row>
    <row r="76" spans="1:28" s="75" customFormat="1" ht="20.25" customHeight="1">
      <c r="A76" s="37" t="s">
        <v>333</v>
      </c>
      <c r="B76" s="37">
        <v>1</v>
      </c>
      <c r="C76" s="37"/>
      <c r="D76" s="37">
        <v>3</v>
      </c>
      <c r="E76" s="37"/>
      <c r="F76" s="37"/>
      <c r="G76" s="37"/>
      <c r="H76" s="37"/>
      <c r="I76" s="37"/>
      <c r="J76" s="37">
        <v>111</v>
      </c>
      <c r="K76" s="272">
        <v>322</v>
      </c>
      <c r="L76" s="334" t="s">
        <v>26</v>
      </c>
      <c r="M76" s="422">
        <f aca="true" t="shared" si="24" ref="M76:S76">M77</f>
        <v>0</v>
      </c>
      <c r="N76" s="422">
        <f t="shared" si="24"/>
        <v>0</v>
      </c>
      <c r="O76" s="437">
        <f t="shared" si="24"/>
        <v>0</v>
      </c>
      <c r="P76" s="437">
        <f t="shared" si="24"/>
        <v>0</v>
      </c>
      <c r="Q76" s="437">
        <f t="shared" si="24"/>
        <v>0</v>
      </c>
      <c r="R76" s="437">
        <f t="shared" si="24"/>
        <v>0</v>
      </c>
      <c r="S76" s="437">
        <f t="shared" si="24"/>
        <v>0</v>
      </c>
      <c r="T76" s="437" t="e">
        <f t="shared" si="22"/>
        <v>#DIV/0!</v>
      </c>
      <c r="U76" s="437" t="e">
        <f t="shared" si="23"/>
        <v>#DIV/0!</v>
      </c>
      <c r="V76" s="78"/>
      <c r="W76" s="78"/>
      <c r="X76" s="78"/>
      <c r="Y76" s="78"/>
      <c r="Z76" s="78"/>
      <c r="AA76" s="78"/>
      <c r="AB76" s="78"/>
    </row>
    <row r="77" spans="1:28" s="75" customFormat="1" ht="19.5" customHeight="1">
      <c r="A77" s="37" t="s">
        <v>333</v>
      </c>
      <c r="B77" s="37">
        <v>1</v>
      </c>
      <c r="C77" s="37"/>
      <c r="D77" s="37">
        <v>3</v>
      </c>
      <c r="E77" s="37"/>
      <c r="F77" s="37"/>
      <c r="G77" s="37"/>
      <c r="H77" s="37"/>
      <c r="I77" s="37"/>
      <c r="J77" s="37">
        <v>111</v>
      </c>
      <c r="K77" s="42">
        <v>3224</v>
      </c>
      <c r="L77" s="345" t="s">
        <v>501</v>
      </c>
      <c r="M77" s="422">
        <v>0</v>
      </c>
      <c r="N77" s="422">
        <v>0</v>
      </c>
      <c r="O77" s="422">
        <v>0</v>
      </c>
      <c r="P77" s="422">
        <v>0</v>
      </c>
      <c r="Q77" s="422">
        <v>0</v>
      </c>
      <c r="R77" s="422"/>
      <c r="S77" s="422"/>
      <c r="T77" s="437" t="e">
        <f t="shared" si="22"/>
        <v>#DIV/0!</v>
      </c>
      <c r="U77" s="437" t="e">
        <f t="shared" si="23"/>
        <v>#DIV/0!</v>
      </c>
      <c r="V77" s="78"/>
      <c r="W77" s="78"/>
      <c r="X77" s="78"/>
      <c r="Y77" s="78"/>
      <c r="Z77" s="78"/>
      <c r="AA77" s="78"/>
      <c r="AB77" s="78"/>
    </row>
    <row r="78" spans="1:28" s="75" customFormat="1" ht="24" customHeight="1">
      <c r="A78" s="37" t="s">
        <v>333</v>
      </c>
      <c r="B78" s="37">
        <v>1</v>
      </c>
      <c r="C78" s="37"/>
      <c r="D78" s="37">
        <v>3</v>
      </c>
      <c r="E78" s="37"/>
      <c r="F78" s="37"/>
      <c r="G78" s="37"/>
      <c r="H78" s="37"/>
      <c r="I78" s="37"/>
      <c r="J78" s="37">
        <v>111</v>
      </c>
      <c r="K78" s="272">
        <v>323</v>
      </c>
      <c r="L78" s="334" t="s">
        <v>7</v>
      </c>
      <c r="M78" s="422">
        <f aca="true" t="shared" si="25" ref="M78:S78">M79</f>
        <v>0</v>
      </c>
      <c r="N78" s="422">
        <f t="shared" si="25"/>
        <v>1327.2280841462605</v>
      </c>
      <c r="O78" s="437">
        <f t="shared" si="25"/>
        <v>10000</v>
      </c>
      <c r="P78" s="437">
        <f t="shared" si="25"/>
        <v>1327.2280841462605</v>
      </c>
      <c r="Q78" s="437">
        <f t="shared" si="25"/>
        <v>0</v>
      </c>
      <c r="R78" s="437">
        <f t="shared" si="25"/>
        <v>0</v>
      </c>
      <c r="S78" s="437">
        <f t="shared" si="25"/>
        <v>0</v>
      </c>
      <c r="T78" s="437" t="e">
        <f t="shared" si="22"/>
        <v>#DIV/0!</v>
      </c>
      <c r="U78" s="437" t="e">
        <f t="shared" si="23"/>
        <v>#DIV/0!</v>
      </c>
      <c r="V78" s="78"/>
      <c r="W78" s="78"/>
      <c r="X78" s="78"/>
      <c r="Y78" s="78"/>
      <c r="Z78" s="78"/>
      <c r="AA78" s="78"/>
      <c r="AB78" s="78"/>
    </row>
    <row r="79" spans="1:28" s="75" customFormat="1" ht="19.5" customHeight="1">
      <c r="A79" s="37" t="s">
        <v>333</v>
      </c>
      <c r="B79" s="37">
        <v>1</v>
      </c>
      <c r="C79" s="37"/>
      <c r="D79" s="37">
        <v>3</v>
      </c>
      <c r="E79" s="37"/>
      <c r="F79" s="37"/>
      <c r="G79" s="37"/>
      <c r="H79" s="37"/>
      <c r="I79" s="37"/>
      <c r="J79" s="37">
        <v>111</v>
      </c>
      <c r="K79" s="42">
        <v>3232</v>
      </c>
      <c r="L79" s="339" t="s">
        <v>136</v>
      </c>
      <c r="M79" s="422">
        <v>0</v>
      </c>
      <c r="N79" s="422">
        <f>10000/7.5345</f>
        <v>1327.2280841462605</v>
      </c>
      <c r="O79" s="422">
        <v>10000</v>
      </c>
      <c r="P79" s="422">
        <f>10000/7.5345</f>
        <v>1327.2280841462605</v>
      </c>
      <c r="Q79" s="422">
        <v>0</v>
      </c>
      <c r="R79" s="422"/>
      <c r="S79" s="422"/>
      <c r="T79" s="437" t="e">
        <f t="shared" si="22"/>
        <v>#DIV/0!</v>
      </c>
      <c r="U79" s="437" t="e">
        <f t="shared" si="23"/>
        <v>#DIV/0!</v>
      </c>
      <c r="V79" s="78"/>
      <c r="W79" s="78"/>
      <c r="X79" s="78"/>
      <c r="Y79" s="78"/>
      <c r="Z79" s="78"/>
      <c r="AA79" s="78"/>
      <c r="AB79" s="78"/>
    </row>
    <row r="80" spans="1:36" s="128" customFormat="1" ht="15.75">
      <c r="A80" s="125"/>
      <c r="B80" s="125"/>
      <c r="C80" s="125"/>
      <c r="D80" s="125"/>
      <c r="E80" s="125"/>
      <c r="F80" s="125"/>
      <c r="G80" s="125"/>
      <c r="H80" s="125"/>
      <c r="I80" s="125"/>
      <c r="J80" s="125"/>
      <c r="K80" s="126"/>
      <c r="L80" s="127" t="s">
        <v>86</v>
      </c>
      <c r="M80" s="431">
        <f aca="true" t="shared" si="26" ref="M80:S80">M74</f>
        <v>0</v>
      </c>
      <c r="N80" s="431">
        <f t="shared" si="26"/>
        <v>1327.2280841462605</v>
      </c>
      <c r="O80" s="431">
        <f t="shared" si="26"/>
        <v>10000</v>
      </c>
      <c r="P80" s="431">
        <f t="shared" si="26"/>
        <v>1327.2280841462605</v>
      </c>
      <c r="Q80" s="431">
        <f t="shared" si="26"/>
        <v>0</v>
      </c>
      <c r="R80" s="431">
        <f t="shared" si="26"/>
        <v>0</v>
      </c>
      <c r="S80" s="431">
        <f t="shared" si="26"/>
        <v>0</v>
      </c>
      <c r="T80" s="421" t="e">
        <f t="shared" si="22"/>
        <v>#DIV/0!</v>
      </c>
      <c r="U80" s="421" t="e">
        <f t="shared" si="23"/>
        <v>#DIV/0!</v>
      </c>
      <c r="V80" s="78"/>
      <c r="W80" s="78"/>
      <c r="X80" s="78"/>
      <c r="Y80" s="78"/>
      <c r="Z80" s="78"/>
      <c r="AA80" s="78"/>
      <c r="AB80" s="78"/>
      <c r="AC80" s="75"/>
      <c r="AD80" s="75"/>
      <c r="AE80" s="75"/>
      <c r="AF80" s="75"/>
      <c r="AG80" s="75"/>
      <c r="AH80" s="75"/>
      <c r="AI80" s="75"/>
      <c r="AJ80" s="75"/>
    </row>
    <row r="81" spans="1:36" s="208" customFormat="1" ht="15.75">
      <c r="A81" s="37"/>
      <c r="B81" s="37"/>
      <c r="C81" s="37"/>
      <c r="D81" s="37"/>
      <c r="E81" s="37"/>
      <c r="F81" s="37"/>
      <c r="G81" s="37"/>
      <c r="H81" s="37"/>
      <c r="I81" s="37"/>
      <c r="J81" s="37"/>
      <c r="K81" s="207"/>
      <c r="L81" s="373" t="s">
        <v>165</v>
      </c>
      <c r="M81" s="432">
        <f aca="true" t="shared" si="27" ref="M81:S81">M80+M71</f>
        <v>0</v>
      </c>
      <c r="N81" s="432">
        <f t="shared" si="27"/>
        <v>7963.368504877563</v>
      </c>
      <c r="O81" s="446">
        <f t="shared" si="27"/>
        <v>60000</v>
      </c>
      <c r="P81" s="446">
        <f t="shared" si="27"/>
        <v>7963.368504877563</v>
      </c>
      <c r="Q81" s="446">
        <f t="shared" si="27"/>
        <v>0</v>
      </c>
      <c r="R81" s="446">
        <f t="shared" si="27"/>
        <v>0</v>
      </c>
      <c r="S81" s="446">
        <f t="shared" si="27"/>
        <v>0</v>
      </c>
      <c r="T81" s="432" t="e">
        <f t="shared" si="22"/>
        <v>#DIV/0!</v>
      </c>
      <c r="U81" s="446" t="e">
        <f t="shared" si="23"/>
        <v>#DIV/0!</v>
      </c>
      <c r="V81" s="78"/>
      <c r="W81" s="78"/>
      <c r="X81" s="78"/>
      <c r="Y81" s="78"/>
      <c r="Z81" s="78"/>
      <c r="AA81" s="78"/>
      <c r="AB81" s="78"/>
      <c r="AC81" s="75"/>
      <c r="AD81" s="75"/>
      <c r="AE81" s="75"/>
      <c r="AF81" s="75"/>
      <c r="AG81" s="75"/>
      <c r="AH81" s="75"/>
      <c r="AI81" s="75"/>
      <c r="AJ81" s="75"/>
    </row>
    <row r="82" spans="1:36" s="46" customFormat="1" ht="15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3"/>
      <c r="L82" s="55"/>
      <c r="M82" s="429"/>
      <c r="N82" s="429"/>
      <c r="O82" s="429"/>
      <c r="P82" s="429"/>
      <c r="Q82" s="429"/>
      <c r="R82" s="429"/>
      <c r="S82" s="429"/>
      <c r="T82" s="429"/>
      <c r="U82" s="429"/>
      <c r="V82" s="78"/>
      <c r="W82" s="78"/>
      <c r="X82" s="78"/>
      <c r="Y82" s="78"/>
      <c r="Z82" s="78"/>
      <c r="AA82" s="78"/>
      <c r="AB82" s="78"/>
      <c r="AC82" s="78"/>
      <c r="AD82" s="78"/>
      <c r="AE82" s="78"/>
      <c r="AF82" s="78"/>
      <c r="AG82" s="78"/>
      <c r="AH82" s="78"/>
      <c r="AI82" s="78"/>
      <c r="AJ82" s="78"/>
    </row>
    <row r="83" spans="1:36" s="216" customFormat="1" ht="27" customHeight="1">
      <c r="A83" s="213"/>
      <c r="B83" s="213"/>
      <c r="C83" s="213"/>
      <c r="D83" s="213"/>
      <c r="E83" s="213"/>
      <c r="F83" s="213"/>
      <c r="G83" s="213"/>
      <c r="H83" s="213"/>
      <c r="I83" s="213"/>
      <c r="J83" s="213"/>
      <c r="K83" s="211" t="s">
        <v>167</v>
      </c>
      <c r="L83" s="371" t="s">
        <v>244</v>
      </c>
      <c r="M83" s="448"/>
      <c r="N83" s="448"/>
      <c r="O83" s="448"/>
      <c r="P83" s="448"/>
      <c r="Q83" s="448"/>
      <c r="R83" s="448"/>
      <c r="S83" s="448"/>
      <c r="T83" s="448"/>
      <c r="U83" s="448"/>
      <c r="V83" s="78"/>
      <c r="W83" s="78"/>
      <c r="X83" s="78"/>
      <c r="Y83" s="78"/>
      <c r="Z83" s="78"/>
      <c r="AA83" s="78"/>
      <c r="AB83" s="78"/>
      <c r="AC83" s="78"/>
      <c r="AD83" s="78"/>
      <c r="AE83" s="78"/>
      <c r="AF83" s="78"/>
      <c r="AG83" s="78"/>
      <c r="AH83" s="78"/>
      <c r="AI83" s="78"/>
      <c r="AJ83" s="78"/>
    </row>
    <row r="84" spans="1:36" s="212" customFormat="1" ht="15.75">
      <c r="A84" s="79" t="s">
        <v>162</v>
      </c>
      <c r="B84" s="79"/>
      <c r="C84" s="79"/>
      <c r="D84" s="79"/>
      <c r="E84" s="79"/>
      <c r="F84" s="79"/>
      <c r="G84" s="79"/>
      <c r="H84" s="79"/>
      <c r="I84" s="79"/>
      <c r="J84" s="79"/>
      <c r="K84" s="41" t="s">
        <v>347</v>
      </c>
      <c r="L84" s="217"/>
      <c r="M84" s="430"/>
      <c r="N84" s="430"/>
      <c r="O84" s="430"/>
      <c r="P84" s="430"/>
      <c r="Q84" s="430"/>
      <c r="R84" s="430"/>
      <c r="S84" s="430"/>
      <c r="T84" s="430"/>
      <c r="U84" s="430"/>
      <c r="V84" s="78"/>
      <c r="W84" s="78"/>
      <c r="X84" s="78"/>
      <c r="Y84" s="78"/>
      <c r="Z84" s="78"/>
      <c r="AA84" s="78"/>
      <c r="AB84" s="78"/>
      <c r="AC84" s="78"/>
      <c r="AD84" s="78"/>
      <c r="AE84" s="78"/>
      <c r="AF84" s="78"/>
      <c r="AG84" s="78"/>
      <c r="AH84" s="78"/>
      <c r="AI84" s="78"/>
      <c r="AJ84" s="78"/>
    </row>
    <row r="85" spans="1:36" s="212" customFormat="1" ht="22.5" customHeight="1">
      <c r="A85" s="79" t="s">
        <v>163</v>
      </c>
      <c r="B85" s="79"/>
      <c r="C85" s="79"/>
      <c r="D85" s="79"/>
      <c r="E85" s="79"/>
      <c r="F85" s="79"/>
      <c r="G85" s="79"/>
      <c r="H85" s="79"/>
      <c r="I85" s="79"/>
      <c r="J85" s="79"/>
      <c r="K85" s="41" t="s">
        <v>25</v>
      </c>
      <c r="L85" s="218" t="s">
        <v>348</v>
      </c>
      <c r="M85" s="430"/>
      <c r="N85" s="430"/>
      <c r="O85" s="430"/>
      <c r="P85" s="430"/>
      <c r="Q85" s="430"/>
      <c r="R85" s="430"/>
      <c r="S85" s="430"/>
      <c r="T85" s="430"/>
      <c r="U85" s="430"/>
      <c r="V85" s="78"/>
      <c r="W85" s="78"/>
      <c r="X85" s="78"/>
      <c r="Y85" s="78"/>
      <c r="Z85" s="78"/>
      <c r="AA85" s="78"/>
      <c r="AB85" s="78"/>
      <c r="AC85" s="78"/>
      <c r="AD85" s="78"/>
      <c r="AE85" s="78"/>
      <c r="AF85" s="78"/>
      <c r="AG85" s="78"/>
      <c r="AH85" s="78"/>
      <c r="AI85" s="78"/>
      <c r="AJ85" s="78"/>
    </row>
    <row r="86" spans="1:28" s="75" customFormat="1" ht="19.5" customHeight="1">
      <c r="A86" s="37" t="s">
        <v>163</v>
      </c>
      <c r="B86" s="37">
        <v>1</v>
      </c>
      <c r="C86" s="37"/>
      <c r="D86" s="37">
        <v>3</v>
      </c>
      <c r="E86" s="37"/>
      <c r="F86" s="37"/>
      <c r="G86" s="37"/>
      <c r="H86" s="37"/>
      <c r="I86" s="37"/>
      <c r="J86" s="37">
        <v>111</v>
      </c>
      <c r="K86" s="272">
        <v>3</v>
      </c>
      <c r="L86" s="273" t="s">
        <v>0</v>
      </c>
      <c r="M86" s="422">
        <f aca="true" t="shared" si="28" ref="M86:S86">M87+M92</f>
        <v>11269.493662485898</v>
      </c>
      <c r="N86" s="422">
        <f t="shared" si="28"/>
        <v>16988.519477072135</v>
      </c>
      <c r="O86" s="437">
        <f t="shared" si="28"/>
        <v>49945.05275731634</v>
      </c>
      <c r="P86" s="437">
        <f t="shared" si="28"/>
        <v>16988.519477072135</v>
      </c>
      <c r="Q86" s="437">
        <f t="shared" si="28"/>
        <v>10677.36</v>
      </c>
      <c r="R86" s="437">
        <f t="shared" si="28"/>
        <v>19000</v>
      </c>
      <c r="S86" s="437">
        <f t="shared" si="28"/>
        <v>24360.010000000002</v>
      </c>
      <c r="T86" s="437">
        <f>S86/M86*100</f>
        <v>216.15886861971504</v>
      </c>
      <c r="U86" s="437">
        <f>S86/R86*100</f>
        <v>128.21057894736842</v>
      </c>
      <c r="V86" s="78"/>
      <c r="W86" s="78"/>
      <c r="X86" s="78"/>
      <c r="Y86" s="78"/>
      <c r="Z86" s="78"/>
      <c r="AA86" s="78"/>
      <c r="AB86" s="78"/>
    </row>
    <row r="87" spans="1:28" s="75" customFormat="1" ht="45.75" customHeight="1">
      <c r="A87" s="37" t="s">
        <v>163</v>
      </c>
      <c r="B87" s="37">
        <v>1</v>
      </c>
      <c r="C87" s="37"/>
      <c r="D87" s="37">
        <v>3</v>
      </c>
      <c r="E87" s="37"/>
      <c r="F87" s="37"/>
      <c r="G87" s="37"/>
      <c r="H87" s="37"/>
      <c r="I87" s="37"/>
      <c r="J87" s="37">
        <v>111</v>
      </c>
      <c r="K87" s="274">
        <v>32</v>
      </c>
      <c r="L87" s="278" t="s">
        <v>5</v>
      </c>
      <c r="M87" s="422">
        <f aca="true" t="shared" si="29" ref="M87:S87">M90</f>
        <v>5031.521666998474</v>
      </c>
      <c r="N87" s="422">
        <f t="shared" si="29"/>
        <v>5043.46671975579</v>
      </c>
      <c r="O87" s="437">
        <f t="shared" si="29"/>
        <v>38000</v>
      </c>
      <c r="P87" s="437">
        <f t="shared" si="29"/>
        <v>5043.46671975579</v>
      </c>
      <c r="Q87" s="437">
        <f t="shared" si="29"/>
        <v>1677.3600000000001</v>
      </c>
      <c r="R87" s="437">
        <f t="shared" si="29"/>
        <v>0</v>
      </c>
      <c r="S87" s="437">
        <f t="shared" si="29"/>
        <v>4333.35</v>
      </c>
      <c r="T87" s="437">
        <f aca="true" t="shared" si="30" ref="T87:T97">S87/M87*100</f>
        <v>86.12404530466897</v>
      </c>
      <c r="U87" s="437" t="e">
        <f aca="true" t="shared" si="31" ref="U87:U97">S87/R87*100</f>
        <v>#DIV/0!</v>
      </c>
      <c r="V87" s="78"/>
      <c r="W87" s="78"/>
      <c r="X87" s="78"/>
      <c r="Y87" s="78"/>
      <c r="Z87" s="78"/>
      <c r="AA87" s="78"/>
      <c r="AB87" s="78"/>
    </row>
    <row r="88" spans="1:28" s="75" customFormat="1" ht="17.25" customHeight="1" hidden="1">
      <c r="A88" s="37" t="s">
        <v>163</v>
      </c>
      <c r="B88" s="37">
        <v>1</v>
      </c>
      <c r="C88" s="37"/>
      <c r="D88" s="37">
        <v>3</v>
      </c>
      <c r="E88" s="37"/>
      <c r="F88" s="37"/>
      <c r="G88" s="37"/>
      <c r="H88" s="37"/>
      <c r="I88" s="37"/>
      <c r="J88" s="37">
        <v>111</v>
      </c>
      <c r="K88" s="272">
        <v>322</v>
      </c>
      <c r="L88" s="334" t="s">
        <v>144</v>
      </c>
      <c r="M88" s="422"/>
      <c r="N88" s="422"/>
      <c r="O88" s="437"/>
      <c r="P88" s="437"/>
      <c r="Q88" s="437"/>
      <c r="R88" s="437"/>
      <c r="S88" s="437"/>
      <c r="T88" s="437" t="e">
        <f t="shared" si="30"/>
        <v>#DIV/0!</v>
      </c>
      <c r="U88" s="437" t="e">
        <f t="shared" si="31"/>
        <v>#DIV/0!</v>
      </c>
      <c r="V88" s="78"/>
      <c r="W88" s="78"/>
      <c r="X88" s="78"/>
      <c r="Y88" s="78"/>
      <c r="Z88" s="78"/>
      <c r="AA88" s="78"/>
      <c r="AB88" s="78"/>
    </row>
    <row r="89" spans="1:28" s="75" customFormat="1" ht="15.75" customHeight="1" hidden="1">
      <c r="A89" s="37" t="s">
        <v>163</v>
      </c>
      <c r="B89" s="37">
        <v>1</v>
      </c>
      <c r="C89" s="37"/>
      <c r="D89" s="37">
        <v>3</v>
      </c>
      <c r="E89" s="37"/>
      <c r="F89" s="37"/>
      <c r="G89" s="37"/>
      <c r="H89" s="37"/>
      <c r="I89" s="37"/>
      <c r="J89" s="37">
        <v>111</v>
      </c>
      <c r="K89" s="274">
        <v>3221</v>
      </c>
      <c r="L89" s="278" t="s">
        <v>62</v>
      </c>
      <c r="M89" s="422"/>
      <c r="N89" s="422"/>
      <c r="O89" s="437"/>
      <c r="P89" s="437"/>
      <c r="Q89" s="437"/>
      <c r="R89" s="437"/>
      <c r="S89" s="437"/>
      <c r="T89" s="437" t="e">
        <f t="shared" si="30"/>
        <v>#DIV/0!</v>
      </c>
      <c r="U89" s="437" t="e">
        <f t="shared" si="31"/>
        <v>#DIV/0!</v>
      </c>
      <c r="V89" s="78"/>
      <c r="W89" s="78"/>
      <c r="X89" s="78"/>
      <c r="Y89" s="78"/>
      <c r="Z89" s="78"/>
      <c r="AA89" s="78"/>
      <c r="AB89" s="78"/>
    </row>
    <row r="90" spans="1:28" s="75" customFormat="1" ht="19.5" customHeight="1">
      <c r="A90" s="37" t="s">
        <v>163</v>
      </c>
      <c r="B90" s="37">
        <v>1</v>
      </c>
      <c r="C90" s="37"/>
      <c r="D90" s="37">
        <v>3</v>
      </c>
      <c r="E90" s="37"/>
      <c r="F90" s="37"/>
      <c r="G90" s="37"/>
      <c r="H90" s="37"/>
      <c r="I90" s="37"/>
      <c r="J90" s="37">
        <v>111</v>
      </c>
      <c r="K90" s="272">
        <v>329</v>
      </c>
      <c r="L90" s="334" t="s">
        <v>34</v>
      </c>
      <c r="M90" s="449">
        <f aca="true" t="shared" si="32" ref="M90:S90">M91</f>
        <v>5031.521666998474</v>
      </c>
      <c r="N90" s="449">
        <f t="shared" si="32"/>
        <v>5043.46671975579</v>
      </c>
      <c r="O90" s="450">
        <f t="shared" si="32"/>
        <v>38000</v>
      </c>
      <c r="P90" s="450">
        <f t="shared" si="32"/>
        <v>5043.46671975579</v>
      </c>
      <c r="Q90" s="450">
        <f t="shared" si="32"/>
        <v>1677.3600000000001</v>
      </c>
      <c r="R90" s="450">
        <f t="shared" si="32"/>
        <v>0</v>
      </c>
      <c r="S90" s="450">
        <f t="shared" si="32"/>
        <v>4333.35</v>
      </c>
      <c r="T90" s="437">
        <f t="shared" si="30"/>
        <v>86.12404530466897</v>
      </c>
      <c r="U90" s="437" t="e">
        <f t="shared" si="31"/>
        <v>#DIV/0!</v>
      </c>
      <c r="V90" s="78"/>
      <c r="W90" s="78"/>
      <c r="X90" s="78"/>
      <c r="Y90" s="78"/>
      <c r="Z90" s="78"/>
      <c r="AA90" s="78"/>
      <c r="AB90" s="78"/>
    </row>
    <row r="91" spans="1:28" s="75" customFormat="1" ht="29.25" customHeight="1">
      <c r="A91" s="37" t="s">
        <v>163</v>
      </c>
      <c r="B91" s="37">
        <v>1</v>
      </c>
      <c r="C91" s="37"/>
      <c r="D91" s="37">
        <v>3</v>
      </c>
      <c r="E91" s="37"/>
      <c r="F91" s="37"/>
      <c r="G91" s="37"/>
      <c r="H91" s="37"/>
      <c r="I91" s="37"/>
      <c r="J91" s="37">
        <v>111</v>
      </c>
      <c r="K91" s="42">
        <v>3291</v>
      </c>
      <c r="L91" s="352" t="s">
        <v>143</v>
      </c>
      <c r="M91" s="422">
        <f>37910/7.5345</f>
        <v>5031.521666998474</v>
      </c>
      <c r="N91" s="422">
        <f>38000/7.5345</f>
        <v>5043.46671975579</v>
      </c>
      <c r="O91" s="422">
        <v>38000</v>
      </c>
      <c r="P91" s="422">
        <f>38000/7.5345</f>
        <v>5043.46671975579</v>
      </c>
      <c r="Q91" s="422">
        <f>1258+419.36</f>
        <v>1677.3600000000001</v>
      </c>
      <c r="R91" s="422"/>
      <c r="S91" s="422">
        <v>4333.35</v>
      </c>
      <c r="T91" s="437">
        <f t="shared" si="30"/>
        <v>86.12404530466897</v>
      </c>
      <c r="U91" s="437" t="e">
        <f t="shared" si="31"/>
        <v>#DIV/0!</v>
      </c>
      <c r="V91" s="78"/>
      <c r="W91" s="78"/>
      <c r="X91" s="78"/>
      <c r="Y91" s="78"/>
      <c r="Z91" s="78"/>
      <c r="AA91" s="78"/>
      <c r="AB91" s="78"/>
    </row>
    <row r="92" spans="1:28" s="75" customFormat="1" ht="15">
      <c r="A92" s="37" t="s">
        <v>163</v>
      </c>
      <c r="B92" s="37">
        <v>1</v>
      </c>
      <c r="C92" s="37"/>
      <c r="D92" s="37">
        <v>3</v>
      </c>
      <c r="E92" s="37"/>
      <c r="F92" s="37"/>
      <c r="G92" s="37"/>
      <c r="H92" s="37"/>
      <c r="I92" s="37"/>
      <c r="J92" s="37">
        <v>111</v>
      </c>
      <c r="K92" s="274">
        <v>38</v>
      </c>
      <c r="L92" s="278" t="s">
        <v>11</v>
      </c>
      <c r="M92" s="422">
        <f aca="true" t="shared" si="33" ref="M92:S93">M93</f>
        <v>6237.9719954874245</v>
      </c>
      <c r="N92" s="422">
        <f t="shared" si="33"/>
        <v>11945.052757316344</v>
      </c>
      <c r="O92" s="437">
        <f t="shared" si="33"/>
        <v>11945.052757316344</v>
      </c>
      <c r="P92" s="437">
        <f t="shared" si="33"/>
        <v>11945.052757316344</v>
      </c>
      <c r="Q92" s="437">
        <f t="shared" si="33"/>
        <v>9000</v>
      </c>
      <c r="R92" s="437">
        <f t="shared" si="33"/>
        <v>19000</v>
      </c>
      <c r="S92" s="437">
        <f t="shared" si="33"/>
        <v>20026.66</v>
      </c>
      <c r="T92" s="437">
        <f t="shared" si="30"/>
        <v>321.04440376595744</v>
      </c>
      <c r="U92" s="437">
        <f t="shared" si="31"/>
        <v>105.40347368421052</v>
      </c>
      <c r="V92" s="78"/>
      <c r="W92" s="78"/>
      <c r="X92" s="78"/>
      <c r="Y92" s="78"/>
      <c r="Z92" s="78"/>
      <c r="AA92" s="78"/>
      <c r="AB92" s="78"/>
    </row>
    <row r="93" spans="1:28" s="75" customFormat="1" ht="25.5" customHeight="1">
      <c r="A93" s="37" t="s">
        <v>163</v>
      </c>
      <c r="B93" s="37">
        <v>1</v>
      </c>
      <c r="C93" s="37"/>
      <c r="D93" s="37">
        <v>3</v>
      </c>
      <c r="E93" s="37"/>
      <c r="F93" s="37"/>
      <c r="G93" s="37"/>
      <c r="H93" s="37"/>
      <c r="I93" s="37"/>
      <c r="J93" s="37">
        <v>111</v>
      </c>
      <c r="K93" s="283">
        <v>381</v>
      </c>
      <c r="L93" s="337" t="s">
        <v>12</v>
      </c>
      <c r="M93" s="423">
        <f t="shared" si="33"/>
        <v>6237.9719954874245</v>
      </c>
      <c r="N93" s="423">
        <f t="shared" si="33"/>
        <v>11945.052757316344</v>
      </c>
      <c r="O93" s="438">
        <f t="shared" si="33"/>
        <v>11945.052757316344</v>
      </c>
      <c r="P93" s="438">
        <f t="shared" si="33"/>
        <v>11945.052757316344</v>
      </c>
      <c r="Q93" s="438">
        <f t="shared" si="33"/>
        <v>9000</v>
      </c>
      <c r="R93" s="438">
        <f t="shared" si="33"/>
        <v>19000</v>
      </c>
      <c r="S93" s="438">
        <f t="shared" si="33"/>
        <v>20026.66</v>
      </c>
      <c r="T93" s="437">
        <f t="shared" si="30"/>
        <v>321.04440376595744</v>
      </c>
      <c r="U93" s="437">
        <f t="shared" si="31"/>
        <v>105.40347368421052</v>
      </c>
      <c r="V93" s="78"/>
      <c r="W93" s="78"/>
      <c r="X93" s="78"/>
      <c r="Y93" s="78"/>
      <c r="Z93" s="78"/>
      <c r="AA93" s="78"/>
      <c r="AB93" s="78"/>
    </row>
    <row r="94" spans="1:28" s="75" customFormat="1" ht="25.5" customHeight="1">
      <c r="A94" s="37" t="s">
        <v>163</v>
      </c>
      <c r="B94" s="37">
        <v>1</v>
      </c>
      <c r="C94" s="37"/>
      <c r="D94" s="37">
        <v>3</v>
      </c>
      <c r="E94" s="37"/>
      <c r="F94" s="37"/>
      <c r="G94" s="37"/>
      <c r="H94" s="37"/>
      <c r="I94" s="37"/>
      <c r="J94" s="37">
        <v>111</v>
      </c>
      <c r="K94" s="42">
        <v>3811</v>
      </c>
      <c r="L94" s="333" t="s">
        <v>76</v>
      </c>
      <c r="M94" s="422">
        <f>47000/7.5345</f>
        <v>6237.9719954874245</v>
      </c>
      <c r="N94" s="422">
        <f>90000/7.5345</f>
        <v>11945.052757316344</v>
      </c>
      <c r="O94" s="422">
        <f>90000/7.5345</f>
        <v>11945.052757316344</v>
      </c>
      <c r="P94" s="422">
        <f>90000/7.5345</f>
        <v>11945.052757316344</v>
      </c>
      <c r="Q94" s="422">
        <v>9000</v>
      </c>
      <c r="R94" s="422">
        <v>19000</v>
      </c>
      <c r="S94" s="422">
        <v>20026.66</v>
      </c>
      <c r="T94" s="437">
        <f t="shared" si="30"/>
        <v>321.04440376595744</v>
      </c>
      <c r="U94" s="437">
        <f t="shared" si="31"/>
        <v>105.40347368421052</v>
      </c>
      <c r="V94" s="78"/>
      <c r="W94" s="78"/>
      <c r="X94" s="78"/>
      <c r="Y94" s="78"/>
      <c r="Z94" s="78"/>
      <c r="AA94" s="78"/>
      <c r="AB94" s="78"/>
    </row>
    <row r="95" spans="1:36" s="128" customFormat="1" ht="15.75">
      <c r="A95" s="125"/>
      <c r="B95" s="125"/>
      <c r="C95" s="125"/>
      <c r="D95" s="125"/>
      <c r="E95" s="125"/>
      <c r="F95" s="125"/>
      <c r="G95" s="125"/>
      <c r="H95" s="125"/>
      <c r="I95" s="125"/>
      <c r="J95" s="125"/>
      <c r="K95" s="138"/>
      <c r="L95" s="139" t="s">
        <v>86</v>
      </c>
      <c r="M95" s="445">
        <f aca="true" t="shared" si="34" ref="M95:S95">M86</f>
        <v>11269.493662485898</v>
      </c>
      <c r="N95" s="445">
        <f t="shared" si="34"/>
        <v>16988.519477072135</v>
      </c>
      <c r="O95" s="445">
        <f t="shared" si="34"/>
        <v>49945.05275731634</v>
      </c>
      <c r="P95" s="445">
        <f t="shared" si="34"/>
        <v>16988.519477072135</v>
      </c>
      <c r="Q95" s="445">
        <f t="shared" si="34"/>
        <v>10677.36</v>
      </c>
      <c r="R95" s="445">
        <f t="shared" si="34"/>
        <v>19000</v>
      </c>
      <c r="S95" s="445">
        <f t="shared" si="34"/>
        <v>24360.010000000002</v>
      </c>
      <c r="T95" s="421">
        <f t="shared" si="30"/>
        <v>216.15886861971504</v>
      </c>
      <c r="U95" s="421">
        <f t="shared" si="31"/>
        <v>128.21057894736842</v>
      </c>
      <c r="V95" s="78"/>
      <c r="W95" s="78"/>
      <c r="X95" s="78"/>
      <c r="Y95" s="78"/>
      <c r="Z95" s="78"/>
      <c r="AA95" s="78"/>
      <c r="AB95" s="78"/>
      <c r="AC95" s="75"/>
      <c r="AD95" s="75"/>
      <c r="AE95" s="75"/>
      <c r="AF95" s="75"/>
      <c r="AG95" s="75"/>
      <c r="AH95" s="75"/>
      <c r="AI95" s="75"/>
      <c r="AJ95" s="75"/>
    </row>
    <row r="96" spans="1:36" s="208" customFormat="1" ht="15.75">
      <c r="A96" s="37"/>
      <c r="B96" s="37"/>
      <c r="C96" s="37"/>
      <c r="D96" s="37"/>
      <c r="E96" s="37"/>
      <c r="F96" s="37"/>
      <c r="G96" s="37"/>
      <c r="H96" s="37"/>
      <c r="I96" s="37"/>
      <c r="J96" s="37"/>
      <c r="K96" s="109"/>
      <c r="L96" s="209" t="s">
        <v>172</v>
      </c>
      <c r="M96" s="432">
        <f aca="true" t="shared" si="35" ref="M96:S96">M95</f>
        <v>11269.493662485898</v>
      </c>
      <c r="N96" s="432">
        <f t="shared" si="35"/>
        <v>16988.519477072135</v>
      </c>
      <c r="O96" s="446">
        <f t="shared" si="35"/>
        <v>49945.05275731634</v>
      </c>
      <c r="P96" s="446">
        <f t="shared" si="35"/>
        <v>16988.519477072135</v>
      </c>
      <c r="Q96" s="446">
        <f t="shared" si="35"/>
        <v>10677.36</v>
      </c>
      <c r="R96" s="446">
        <f t="shared" si="35"/>
        <v>19000</v>
      </c>
      <c r="S96" s="446">
        <f t="shared" si="35"/>
        <v>24360.010000000002</v>
      </c>
      <c r="T96" s="432">
        <f t="shared" si="30"/>
        <v>216.15886861971504</v>
      </c>
      <c r="U96" s="446">
        <f t="shared" si="31"/>
        <v>128.21057894736842</v>
      </c>
      <c r="V96" s="78"/>
      <c r="W96" s="78"/>
      <c r="X96" s="78"/>
      <c r="Y96" s="78"/>
      <c r="Z96" s="78"/>
      <c r="AA96" s="78"/>
      <c r="AB96" s="78"/>
      <c r="AC96" s="75"/>
      <c r="AD96" s="75"/>
      <c r="AE96" s="75"/>
      <c r="AF96" s="75"/>
      <c r="AG96" s="75"/>
      <c r="AH96" s="75"/>
      <c r="AI96" s="75"/>
      <c r="AJ96" s="75"/>
    </row>
    <row r="97" spans="1:36" s="210" customFormat="1" ht="15.75">
      <c r="A97" s="37"/>
      <c r="B97" s="37"/>
      <c r="C97" s="37"/>
      <c r="D97" s="37"/>
      <c r="E97" s="37"/>
      <c r="F97" s="37"/>
      <c r="G97" s="37"/>
      <c r="H97" s="37"/>
      <c r="I97" s="37"/>
      <c r="J97" s="37"/>
      <c r="K97" s="110"/>
      <c r="L97" s="364" t="s">
        <v>164</v>
      </c>
      <c r="M97" s="433">
        <f aca="true" t="shared" si="36" ref="M97:S97">M96+M81+M56</f>
        <v>34972.85818567921</v>
      </c>
      <c r="N97" s="433">
        <f t="shared" si="36"/>
        <v>63706.9480390205</v>
      </c>
      <c r="O97" s="433">
        <f t="shared" si="36"/>
        <v>339501.0949631694</v>
      </c>
      <c r="P97" s="433">
        <f t="shared" si="36"/>
        <v>63706.9480390205</v>
      </c>
      <c r="Q97" s="433">
        <f t="shared" si="36"/>
        <v>26687.88</v>
      </c>
      <c r="R97" s="433">
        <f t="shared" si="36"/>
        <v>46955.57</v>
      </c>
      <c r="S97" s="433">
        <f t="shared" si="36"/>
        <v>58612.350000000006</v>
      </c>
      <c r="T97" s="433">
        <f t="shared" si="30"/>
        <v>167.59382286918935</v>
      </c>
      <c r="U97" s="433">
        <f t="shared" si="31"/>
        <v>124.82512724262533</v>
      </c>
      <c r="V97" s="78"/>
      <c r="W97" s="78"/>
      <c r="X97" s="78"/>
      <c r="Y97" s="78"/>
      <c r="Z97" s="78"/>
      <c r="AA97" s="78"/>
      <c r="AB97" s="78"/>
      <c r="AC97" s="75"/>
      <c r="AD97" s="75"/>
      <c r="AE97" s="75"/>
      <c r="AF97" s="75"/>
      <c r="AG97" s="75"/>
      <c r="AH97" s="75"/>
      <c r="AI97" s="75"/>
      <c r="AJ97" s="75"/>
    </row>
    <row r="98" spans="1:36" s="46" customFormat="1" ht="15.75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3"/>
      <c r="L98" s="53"/>
      <c r="M98" s="429"/>
      <c r="N98" s="429"/>
      <c r="O98" s="429"/>
      <c r="P98" s="429"/>
      <c r="Q98" s="429"/>
      <c r="R98" s="429"/>
      <c r="S98" s="429"/>
      <c r="T98" s="429"/>
      <c r="U98" s="429"/>
      <c r="V98" s="78"/>
      <c r="W98" s="78"/>
      <c r="X98" s="78"/>
      <c r="Y98" s="78"/>
      <c r="Z98" s="78"/>
      <c r="AA98" s="78"/>
      <c r="AB98" s="78"/>
      <c r="AC98" s="78"/>
      <c r="AD98" s="78"/>
      <c r="AE98" s="78"/>
      <c r="AF98" s="78"/>
      <c r="AG98" s="78"/>
      <c r="AH98" s="78"/>
      <c r="AI98" s="78"/>
      <c r="AJ98" s="78"/>
    </row>
    <row r="99" spans="1:36" s="187" customFormat="1" ht="15.75">
      <c r="A99" s="181"/>
      <c r="B99" s="181"/>
      <c r="C99" s="181"/>
      <c r="D99" s="181"/>
      <c r="E99" s="181"/>
      <c r="F99" s="181"/>
      <c r="G99" s="181"/>
      <c r="H99" s="181"/>
      <c r="I99" s="181"/>
      <c r="J99" s="181"/>
      <c r="K99" s="219" t="s">
        <v>168</v>
      </c>
      <c r="L99" s="365" t="s">
        <v>130</v>
      </c>
      <c r="M99" s="451"/>
      <c r="N99" s="451"/>
      <c r="O99" s="451"/>
      <c r="P99" s="451"/>
      <c r="Q99" s="451"/>
      <c r="R99" s="451"/>
      <c r="S99" s="451"/>
      <c r="T99" s="451"/>
      <c r="U99" s="451"/>
      <c r="V99" s="78"/>
      <c r="W99" s="78"/>
      <c r="X99" s="78"/>
      <c r="Y99" s="78"/>
      <c r="Z99" s="78"/>
      <c r="AA99" s="78"/>
      <c r="AB99" s="78"/>
      <c r="AC99" s="78"/>
      <c r="AD99" s="78"/>
      <c r="AE99" s="78"/>
      <c r="AF99" s="78"/>
      <c r="AG99" s="78"/>
      <c r="AH99" s="78"/>
      <c r="AI99" s="78"/>
      <c r="AJ99" s="78"/>
    </row>
    <row r="100" spans="1:36" s="216" customFormat="1" ht="15.75">
      <c r="A100" s="213"/>
      <c r="B100" s="213"/>
      <c r="C100" s="213"/>
      <c r="D100" s="213"/>
      <c r="E100" s="213"/>
      <c r="F100" s="213"/>
      <c r="G100" s="213"/>
      <c r="H100" s="213"/>
      <c r="I100" s="213"/>
      <c r="J100" s="213"/>
      <c r="K100" s="211" t="s">
        <v>128</v>
      </c>
      <c r="L100" s="214" t="s">
        <v>130</v>
      </c>
      <c r="M100" s="448"/>
      <c r="N100" s="448"/>
      <c r="O100" s="448"/>
      <c r="P100" s="448"/>
      <c r="Q100" s="448"/>
      <c r="R100" s="448"/>
      <c r="S100" s="448"/>
      <c r="T100" s="448"/>
      <c r="U100" s="448"/>
      <c r="V100" s="78"/>
      <c r="W100" s="78"/>
      <c r="X100" s="78"/>
      <c r="Y100" s="78"/>
      <c r="Z100" s="78"/>
      <c r="AA100" s="78"/>
      <c r="AB100" s="78"/>
      <c r="AC100" s="78"/>
      <c r="AD100" s="78"/>
      <c r="AE100" s="78"/>
      <c r="AF100" s="78"/>
      <c r="AG100" s="78"/>
      <c r="AH100" s="78"/>
      <c r="AI100" s="78"/>
      <c r="AJ100" s="78"/>
    </row>
    <row r="101" spans="1:36" s="212" customFormat="1" ht="15.75" customHeight="1">
      <c r="A101" s="79" t="s">
        <v>170</v>
      </c>
      <c r="B101" s="41"/>
      <c r="C101" s="41"/>
      <c r="D101" s="41"/>
      <c r="E101" s="41"/>
      <c r="F101" s="41"/>
      <c r="G101" s="41"/>
      <c r="H101" s="41"/>
      <c r="I101" s="41"/>
      <c r="J101" s="41"/>
      <c r="K101" s="41" t="s">
        <v>175</v>
      </c>
      <c r="L101" s="616" t="s">
        <v>350</v>
      </c>
      <c r="M101" s="430"/>
      <c r="N101" s="430"/>
      <c r="O101" s="430"/>
      <c r="P101" s="430"/>
      <c r="Q101" s="430"/>
      <c r="R101" s="430"/>
      <c r="S101" s="430"/>
      <c r="T101" s="430"/>
      <c r="U101" s="430"/>
      <c r="V101" s="78"/>
      <c r="W101" s="78"/>
      <c r="X101" s="78"/>
      <c r="Y101" s="78"/>
      <c r="Z101" s="78"/>
      <c r="AA101" s="78"/>
      <c r="AB101" s="78"/>
      <c r="AC101" s="78"/>
      <c r="AD101" s="78"/>
      <c r="AE101" s="78"/>
      <c r="AF101" s="78"/>
      <c r="AG101" s="78"/>
      <c r="AH101" s="78"/>
      <c r="AI101" s="78"/>
      <c r="AJ101" s="78"/>
    </row>
    <row r="102" spans="1:36" s="212" customFormat="1" ht="29.25" customHeight="1">
      <c r="A102" s="79" t="s">
        <v>171</v>
      </c>
      <c r="B102" s="41"/>
      <c r="C102" s="41"/>
      <c r="D102" s="41"/>
      <c r="E102" s="41"/>
      <c r="F102" s="41"/>
      <c r="G102" s="41"/>
      <c r="H102" s="41"/>
      <c r="I102" s="41"/>
      <c r="J102" s="41"/>
      <c r="K102" s="34" t="s">
        <v>349</v>
      </c>
      <c r="L102" s="616"/>
      <c r="M102" s="430"/>
      <c r="N102" s="430"/>
      <c r="O102" s="430"/>
      <c r="P102" s="430"/>
      <c r="Q102" s="430"/>
      <c r="R102" s="430"/>
      <c r="S102" s="430"/>
      <c r="T102" s="430"/>
      <c r="U102" s="430"/>
      <c r="V102" s="78"/>
      <c r="W102" s="78"/>
      <c r="X102" s="78"/>
      <c r="Y102" s="78"/>
      <c r="Z102" s="78"/>
      <c r="AA102" s="78"/>
      <c r="AB102" s="78"/>
      <c r="AC102" s="78"/>
      <c r="AD102" s="78"/>
      <c r="AE102" s="78"/>
      <c r="AF102" s="78"/>
      <c r="AG102" s="78"/>
      <c r="AH102" s="78"/>
      <c r="AI102" s="78"/>
      <c r="AJ102" s="78"/>
    </row>
    <row r="103" spans="1:28" s="75" customFormat="1" ht="20.25" customHeight="1">
      <c r="A103" s="37" t="s">
        <v>171</v>
      </c>
      <c r="B103" s="37">
        <v>1</v>
      </c>
      <c r="C103" s="37"/>
      <c r="D103" s="37">
        <v>3</v>
      </c>
      <c r="E103" s="37"/>
      <c r="F103" s="37"/>
      <c r="G103" s="37"/>
      <c r="H103" s="37"/>
      <c r="I103" s="37"/>
      <c r="J103" s="37">
        <v>111</v>
      </c>
      <c r="K103" s="272">
        <v>3</v>
      </c>
      <c r="L103" s="273" t="s">
        <v>0</v>
      </c>
      <c r="M103" s="422">
        <f aca="true" t="shared" si="37" ref="M103:S103">M104+M112</f>
        <v>59960.71404870927</v>
      </c>
      <c r="N103" s="422">
        <f t="shared" si="37"/>
        <v>61106.24460813591</v>
      </c>
      <c r="O103" s="437">
        <f t="shared" si="37"/>
        <v>460405</v>
      </c>
      <c r="P103" s="437">
        <f t="shared" si="37"/>
        <v>61106.24460813591</v>
      </c>
      <c r="Q103" s="437">
        <f t="shared" si="37"/>
        <v>34050.49</v>
      </c>
      <c r="R103" s="437">
        <f t="shared" si="37"/>
        <v>62137.06</v>
      </c>
      <c r="S103" s="437">
        <f t="shared" si="37"/>
        <v>60997.619999999995</v>
      </c>
      <c r="T103" s="437">
        <f>S103/M103*100</f>
        <v>101.72930887789026</v>
      </c>
      <c r="U103" s="437">
        <f>S103/R103*100</f>
        <v>98.16624732486538</v>
      </c>
      <c r="V103" s="78"/>
      <c r="W103" s="78"/>
      <c r="X103" s="78"/>
      <c r="Y103" s="78"/>
      <c r="Z103" s="78"/>
      <c r="AA103" s="78"/>
      <c r="AB103" s="78"/>
    </row>
    <row r="104" spans="1:28" s="75" customFormat="1" ht="18.75" customHeight="1">
      <c r="A104" s="37" t="s">
        <v>171</v>
      </c>
      <c r="B104" s="37">
        <v>1</v>
      </c>
      <c r="C104" s="37"/>
      <c r="D104" s="37">
        <v>3</v>
      </c>
      <c r="E104" s="37"/>
      <c r="F104" s="37"/>
      <c r="G104" s="37"/>
      <c r="H104" s="37"/>
      <c r="I104" s="37"/>
      <c r="J104" s="37">
        <v>111</v>
      </c>
      <c r="K104" s="272">
        <v>31</v>
      </c>
      <c r="L104" s="273" t="s">
        <v>138</v>
      </c>
      <c r="M104" s="422">
        <f aca="true" t="shared" si="38" ref="M104:S104">M105+M108+M110</f>
        <v>50650.34176123166</v>
      </c>
      <c r="N104" s="422">
        <f t="shared" si="38"/>
        <v>50753.865551795076</v>
      </c>
      <c r="O104" s="437">
        <f t="shared" si="38"/>
        <v>382405</v>
      </c>
      <c r="P104" s="437">
        <f t="shared" si="38"/>
        <v>50753.865551795076</v>
      </c>
      <c r="Q104" s="437">
        <f t="shared" si="38"/>
        <v>25354.52</v>
      </c>
      <c r="R104" s="437">
        <f t="shared" si="38"/>
        <v>50784.67999999999</v>
      </c>
      <c r="S104" s="437">
        <f t="shared" si="38"/>
        <v>50784.67999999999</v>
      </c>
      <c r="T104" s="437">
        <f aca="true" t="shared" si="39" ref="T104:T120">S104/M104*100</f>
        <v>100.26522671732721</v>
      </c>
      <c r="U104" s="437">
        <f aca="true" t="shared" si="40" ref="U104:U120">S104/R104*100</f>
        <v>100</v>
      </c>
      <c r="V104" s="78"/>
      <c r="W104" s="78"/>
      <c r="X104" s="78"/>
      <c r="Y104" s="78"/>
      <c r="Z104" s="78"/>
      <c r="AA104" s="78"/>
      <c r="AB104" s="78"/>
    </row>
    <row r="105" spans="1:28" s="75" customFormat="1" ht="18" customHeight="1">
      <c r="A105" s="37" t="s">
        <v>171</v>
      </c>
      <c r="B105" s="37">
        <v>1</v>
      </c>
      <c r="C105" s="37"/>
      <c r="D105" s="37">
        <v>3</v>
      </c>
      <c r="E105" s="37"/>
      <c r="F105" s="37"/>
      <c r="G105" s="37"/>
      <c r="H105" s="37"/>
      <c r="I105" s="37"/>
      <c r="J105" s="37">
        <v>111</v>
      </c>
      <c r="K105" s="272">
        <v>311</v>
      </c>
      <c r="L105" s="334" t="s">
        <v>139</v>
      </c>
      <c r="M105" s="422">
        <f aca="true" t="shared" si="41" ref="M105:S105">M106</f>
        <v>43491.14075253832</v>
      </c>
      <c r="N105" s="422">
        <f t="shared" si="41"/>
        <v>43454.11108899064</v>
      </c>
      <c r="O105" s="437">
        <f t="shared" si="41"/>
        <v>327405</v>
      </c>
      <c r="P105" s="437">
        <f t="shared" si="41"/>
        <v>43454.11108899064</v>
      </c>
      <c r="Q105" s="437">
        <f t="shared" si="41"/>
        <v>21763.54</v>
      </c>
      <c r="R105" s="437">
        <f t="shared" si="41"/>
        <v>43592.02</v>
      </c>
      <c r="S105" s="437">
        <f t="shared" si="41"/>
        <v>43592.02</v>
      </c>
      <c r="T105" s="437">
        <f t="shared" si="39"/>
        <v>100.2319535558648</v>
      </c>
      <c r="U105" s="437">
        <f t="shared" si="40"/>
        <v>100</v>
      </c>
      <c r="V105" s="78"/>
      <c r="W105" s="78"/>
      <c r="X105" s="78"/>
      <c r="Y105" s="78"/>
      <c r="Z105" s="78"/>
      <c r="AA105" s="78"/>
      <c r="AB105" s="78"/>
    </row>
    <row r="106" spans="1:28" s="75" customFormat="1" ht="21.75" customHeight="1">
      <c r="A106" s="37" t="s">
        <v>171</v>
      </c>
      <c r="B106" s="37">
        <v>1</v>
      </c>
      <c r="C106" s="37"/>
      <c r="D106" s="37">
        <v>3</v>
      </c>
      <c r="E106" s="37"/>
      <c r="F106" s="37"/>
      <c r="G106" s="37"/>
      <c r="H106" s="37"/>
      <c r="I106" s="37"/>
      <c r="J106" s="37">
        <v>111</v>
      </c>
      <c r="K106" s="42">
        <v>3111</v>
      </c>
      <c r="L106" s="345" t="s">
        <v>491</v>
      </c>
      <c r="M106" s="422">
        <f>327684/7.5345</f>
        <v>43491.14075253832</v>
      </c>
      <c r="N106" s="422">
        <f>327405/7.5345</f>
        <v>43454.11108899064</v>
      </c>
      <c r="O106" s="422">
        <v>327405</v>
      </c>
      <c r="P106" s="422">
        <f>327405/7.5345</f>
        <v>43454.11108899064</v>
      </c>
      <c r="Q106" s="422">
        <v>21763.54</v>
      </c>
      <c r="R106" s="422">
        <v>43592.02</v>
      </c>
      <c r="S106" s="422">
        <v>43592.02</v>
      </c>
      <c r="T106" s="437">
        <f t="shared" si="39"/>
        <v>100.2319535558648</v>
      </c>
      <c r="U106" s="437">
        <f t="shared" si="40"/>
        <v>100</v>
      </c>
      <c r="V106" s="78"/>
      <c r="W106" s="78"/>
      <c r="X106" s="78"/>
      <c r="Y106" s="78"/>
      <c r="Z106" s="78"/>
      <c r="AA106" s="78"/>
      <c r="AB106" s="78"/>
    </row>
    <row r="107" spans="1:28" s="75" customFormat="1" ht="23.25" customHeight="1">
      <c r="A107" s="37" t="s">
        <v>171</v>
      </c>
      <c r="B107" s="37">
        <v>1</v>
      </c>
      <c r="C107" s="37"/>
      <c r="D107" s="37">
        <v>3</v>
      </c>
      <c r="E107" s="37"/>
      <c r="F107" s="37"/>
      <c r="G107" s="37"/>
      <c r="H107" s="37"/>
      <c r="I107" s="37"/>
      <c r="J107" s="37">
        <v>111</v>
      </c>
      <c r="K107" s="42">
        <v>3113</v>
      </c>
      <c r="L107" s="177" t="s">
        <v>102</v>
      </c>
      <c r="M107" s="422"/>
      <c r="N107" s="422"/>
      <c r="O107" s="435"/>
      <c r="P107" s="422"/>
      <c r="Q107" s="422"/>
      <c r="R107" s="422"/>
      <c r="S107" s="422"/>
      <c r="T107" s="437" t="e">
        <f t="shared" si="39"/>
        <v>#DIV/0!</v>
      </c>
      <c r="U107" s="437" t="e">
        <f t="shared" si="40"/>
        <v>#DIV/0!</v>
      </c>
      <c r="V107" s="78"/>
      <c r="W107" s="78"/>
      <c r="X107" s="78"/>
      <c r="Y107" s="78"/>
      <c r="Z107" s="78"/>
      <c r="AA107" s="78"/>
      <c r="AB107" s="78"/>
    </row>
    <row r="108" spans="1:28" s="75" customFormat="1" ht="25.5" customHeight="1">
      <c r="A108" s="37" t="s">
        <v>171</v>
      </c>
      <c r="B108" s="37">
        <v>1</v>
      </c>
      <c r="C108" s="37"/>
      <c r="D108" s="37">
        <v>3</v>
      </c>
      <c r="E108" s="37"/>
      <c r="F108" s="37"/>
      <c r="G108" s="37"/>
      <c r="H108" s="37"/>
      <c r="I108" s="37"/>
      <c r="J108" s="37">
        <v>111</v>
      </c>
      <c r="K108" s="272">
        <v>312</v>
      </c>
      <c r="L108" s="277" t="s">
        <v>3</v>
      </c>
      <c r="M108" s="422">
        <f aca="true" t="shared" si="42" ref="M108:S108">M109</f>
        <v>0</v>
      </c>
      <c r="N108" s="422">
        <f t="shared" si="42"/>
        <v>0</v>
      </c>
      <c r="O108" s="437">
        <f t="shared" si="42"/>
        <v>0</v>
      </c>
      <c r="P108" s="437">
        <f t="shared" si="42"/>
        <v>0</v>
      </c>
      <c r="Q108" s="437">
        <f t="shared" si="42"/>
        <v>0</v>
      </c>
      <c r="R108" s="437">
        <f t="shared" si="42"/>
        <v>0</v>
      </c>
      <c r="S108" s="437">
        <f t="shared" si="42"/>
        <v>0</v>
      </c>
      <c r="T108" s="437" t="e">
        <f t="shared" si="39"/>
        <v>#DIV/0!</v>
      </c>
      <c r="U108" s="437" t="e">
        <f t="shared" si="40"/>
        <v>#DIV/0!</v>
      </c>
      <c r="V108" s="78"/>
      <c r="W108" s="78"/>
      <c r="X108" s="78"/>
      <c r="Y108" s="78"/>
      <c r="Z108" s="78"/>
      <c r="AA108" s="78"/>
      <c r="AB108" s="78"/>
    </row>
    <row r="109" spans="1:28" s="75" customFormat="1" ht="19.5" customHeight="1">
      <c r="A109" s="37" t="s">
        <v>171</v>
      </c>
      <c r="B109" s="37">
        <v>1</v>
      </c>
      <c r="C109" s="37"/>
      <c r="D109" s="37">
        <v>3</v>
      </c>
      <c r="E109" s="37"/>
      <c r="F109" s="37"/>
      <c r="G109" s="37"/>
      <c r="H109" s="37"/>
      <c r="I109" s="37"/>
      <c r="J109" s="37">
        <v>111</v>
      </c>
      <c r="K109" s="42">
        <v>3121</v>
      </c>
      <c r="L109" s="89" t="s">
        <v>3</v>
      </c>
      <c r="M109" s="422">
        <v>0</v>
      </c>
      <c r="N109" s="422">
        <v>0</v>
      </c>
      <c r="O109" s="422">
        <v>0</v>
      </c>
      <c r="P109" s="422">
        <v>0</v>
      </c>
      <c r="Q109" s="422">
        <v>0</v>
      </c>
      <c r="R109" s="422"/>
      <c r="S109" s="422"/>
      <c r="T109" s="437" t="e">
        <f t="shared" si="39"/>
        <v>#DIV/0!</v>
      </c>
      <c r="U109" s="437" t="e">
        <f t="shared" si="40"/>
        <v>#DIV/0!</v>
      </c>
      <c r="V109" s="78"/>
      <c r="W109" s="78"/>
      <c r="X109" s="78"/>
      <c r="Y109" s="78"/>
      <c r="Z109" s="78"/>
      <c r="AA109" s="78"/>
      <c r="AB109" s="78"/>
    </row>
    <row r="110" spans="1:28" s="75" customFormat="1" ht="21" customHeight="1">
      <c r="A110" s="37" t="s">
        <v>171</v>
      </c>
      <c r="B110" s="37">
        <v>1</v>
      </c>
      <c r="C110" s="37"/>
      <c r="D110" s="37">
        <v>3</v>
      </c>
      <c r="E110" s="37"/>
      <c r="F110" s="37"/>
      <c r="G110" s="37"/>
      <c r="H110" s="37"/>
      <c r="I110" s="37"/>
      <c r="J110" s="37">
        <v>111</v>
      </c>
      <c r="K110" s="272">
        <v>313</v>
      </c>
      <c r="L110" s="275" t="s">
        <v>4</v>
      </c>
      <c r="M110" s="422">
        <f aca="true" t="shared" si="43" ref="M110:S110">M111</f>
        <v>7159.201008693343</v>
      </c>
      <c r="N110" s="422">
        <f t="shared" si="43"/>
        <v>7299.7544628044325</v>
      </c>
      <c r="O110" s="437">
        <f t="shared" si="43"/>
        <v>55000</v>
      </c>
      <c r="P110" s="437">
        <f t="shared" si="43"/>
        <v>7299.7544628044325</v>
      </c>
      <c r="Q110" s="437">
        <f t="shared" si="43"/>
        <v>3590.98</v>
      </c>
      <c r="R110" s="437">
        <f t="shared" si="43"/>
        <v>7192.66</v>
      </c>
      <c r="S110" s="437">
        <f t="shared" si="43"/>
        <v>7192.66</v>
      </c>
      <c r="T110" s="437">
        <f t="shared" si="39"/>
        <v>100.46735650062107</v>
      </c>
      <c r="U110" s="437">
        <f t="shared" si="40"/>
        <v>100</v>
      </c>
      <c r="V110" s="78"/>
      <c r="W110" s="78"/>
      <c r="X110" s="78"/>
      <c r="Y110" s="78"/>
      <c r="Z110" s="78"/>
      <c r="AA110" s="78"/>
      <c r="AB110" s="78"/>
    </row>
    <row r="111" spans="1:28" s="75" customFormat="1" ht="21.75" customHeight="1">
      <c r="A111" s="37" t="s">
        <v>171</v>
      </c>
      <c r="B111" s="37">
        <v>1</v>
      </c>
      <c r="C111" s="37"/>
      <c r="D111" s="37">
        <v>3</v>
      </c>
      <c r="E111" s="37"/>
      <c r="F111" s="37"/>
      <c r="G111" s="37"/>
      <c r="H111" s="37"/>
      <c r="I111" s="37"/>
      <c r="J111" s="37">
        <v>111</v>
      </c>
      <c r="K111" s="42">
        <v>3132</v>
      </c>
      <c r="L111" s="89" t="s">
        <v>140</v>
      </c>
      <c r="M111" s="422">
        <f>53941/7.5345</f>
        <v>7159.201008693343</v>
      </c>
      <c r="N111" s="422">
        <f>55000/7.5345</f>
        <v>7299.7544628044325</v>
      </c>
      <c r="O111" s="422">
        <v>55000</v>
      </c>
      <c r="P111" s="422">
        <f>55000/7.5345</f>
        <v>7299.7544628044325</v>
      </c>
      <c r="Q111" s="422">
        <v>3590.98</v>
      </c>
      <c r="R111" s="422">
        <v>7192.66</v>
      </c>
      <c r="S111" s="422">
        <v>7192.66</v>
      </c>
      <c r="T111" s="437">
        <f t="shared" si="39"/>
        <v>100.46735650062107</v>
      </c>
      <c r="U111" s="437">
        <f t="shared" si="40"/>
        <v>100</v>
      </c>
      <c r="V111" s="78"/>
      <c r="W111" s="78"/>
      <c r="X111" s="78"/>
      <c r="Y111" s="78"/>
      <c r="Z111" s="78"/>
      <c r="AA111" s="78"/>
      <c r="AB111" s="78"/>
    </row>
    <row r="112" spans="1:28" s="75" customFormat="1" ht="30.75" customHeight="1">
      <c r="A112" s="37" t="s">
        <v>171</v>
      </c>
      <c r="B112" s="37">
        <v>1</v>
      </c>
      <c r="C112" s="37"/>
      <c r="D112" s="37">
        <v>3</v>
      </c>
      <c r="E112" s="37"/>
      <c r="F112" s="37"/>
      <c r="G112" s="37"/>
      <c r="H112" s="37"/>
      <c r="I112" s="37"/>
      <c r="J112" s="37">
        <v>111</v>
      </c>
      <c r="K112" s="272">
        <v>32</v>
      </c>
      <c r="L112" s="275" t="s">
        <v>5</v>
      </c>
      <c r="M112" s="422">
        <f aca="true" t="shared" si="44" ref="M112:S112">M113+M115</f>
        <v>9310.372287477603</v>
      </c>
      <c r="N112" s="422">
        <f t="shared" si="44"/>
        <v>10352.379056340833</v>
      </c>
      <c r="O112" s="437">
        <f t="shared" si="44"/>
        <v>78000</v>
      </c>
      <c r="P112" s="437">
        <f t="shared" si="44"/>
        <v>10352.379056340833</v>
      </c>
      <c r="Q112" s="437">
        <f t="shared" si="44"/>
        <v>8695.97</v>
      </c>
      <c r="R112" s="437">
        <f t="shared" si="44"/>
        <v>11352.380000000001</v>
      </c>
      <c r="S112" s="437">
        <f t="shared" si="44"/>
        <v>10212.94</v>
      </c>
      <c r="T112" s="437">
        <f t="shared" si="39"/>
        <v>109.69421720908352</v>
      </c>
      <c r="U112" s="437">
        <f t="shared" si="40"/>
        <v>89.9629857351498</v>
      </c>
      <c r="V112" s="78"/>
      <c r="W112" s="78"/>
      <c r="X112" s="78"/>
      <c r="Y112" s="78"/>
      <c r="Z112" s="78"/>
      <c r="AA112" s="78"/>
      <c r="AB112" s="78"/>
    </row>
    <row r="113" spans="1:28" s="75" customFormat="1" ht="21.75" customHeight="1">
      <c r="A113" s="37" t="s">
        <v>171</v>
      </c>
      <c r="B113" s="37">
        <v>1</v>
      </c>
      <c r="C113" s="37"/>
      <c r="D113" s="37">
        <v>3</v>
      </c>
      <c r="E113" s="37"/>
      <c r="F113" s="37"/>
      <c r="G113" s="37"/>
      <c r="H113" s="37"/>
      <c r="I113" s="37"/>
      <c r="J113" s="37">
        <v>111</v>
      </c>
      <c r="K113" s="272">
        <v>321</v>
      </c>
      <c r="L113" s="273" t="s">
        <v>6</v>
      </c>
      <c r="M113" s="422">
        <f aca="true" t="shared" si="45" ref="M113:S113">M114</f>
        <v>0</v>
      </c>
      <c r="N113" s="422">
        <f t="shared" si="45"/>
        <v>0</v>
      </c>
      <c r="O113" s="437">
        <f t="shared" si="45"/>
        <v>0</v>
      </c>
      <c r="P113" s="437">
        <f t="shared" si="45"/>
        <v>0</v>
      </c>
      <c r="Q113" s="437">
        <f t="shared" si="45"/>
        <v>0</v>
      </c>
      <c r="R113" s="437">
        <f t="shared" si="45"/>
        <v>0</v>
      </c>
      <c r="S113" s="437">
        <f t="shared" si="45"/>
        <v>0</v>
      </c>
      <c r="T113" s="437" t="e">
        <f t="shared" si="39"/>
        <v>#DIV/0!</v>
      </c>
      <c r="U113" s="437" t="e">
        <f t="shared" si="40"/>
        <v>#DIV/0!</v>
      </c>
      <c r="V113" s="78"/>
      <c r="W113" s="78"/>
      <c r="X113" s="78"/>
      <c r="Y113" s="78"/>
      <c r="Z113" s="78"/>
      <c r="AA113" s="78"/>
      <c r="AB113" s="78"/>
    </row>
    <row r="114" spans="1:28" s="75" customFormat="1" ht="20.25" customHeight="1">
      <c r="A114" s="37" t="s">
        <v>171</v>
      </c>
      <c r="B114" s="37">
        <v>1</v>
      </c>
      <c r="C114" s="37"/>
      <c r="D114" s="37">
        <v>3</v>
      </c>
      <c r="E114" s="37"/>
      <c r="F114" s="37"/>
      <c r="G114" s="37"/>
      <c r="H114" s="37"/>
      <c r="I114" s="37"/>
      <c r="J114" s="37">
        <v>111</v>
      </c>
      <c r="K114" s="42">
        <v>3212</v>
      </c>
      <c r="L114" s="88" t="s">
        <v>245</v>
      </c>
      <c r="M114" s="422">
        <v>0</v>
      </c>
      <c r="N114" s="422">
        <v>0</v>
      </c>
      <c r="O114" s="422">
        <v>0</v>
      </c>
      <c r="P114" s="422">
        <v>0</v>
      </c>
      <c r="Q114" s="422">
        <v>0</v>
      </c>
      <c r="R114" s="422">
        <v>0</v>
      </c>
      <c r="S114" s="422"/>
      <c r="T114" s="437" t="e">
        <f t="shared" si="39"/>
        <v>#DIV/0!</v>
      </c>
      <c r="U114" s="437" t="e">
        <f t="shared" si="40"/>
        <v>#DIV/0!</v>
      </c>
      <c r="V114" s="78"/>
      <c r="W114" s="78"/>
      <c r="X114" s="78"/>
      <c r="Y114" s="78"/>
      <c r="Z114" s="78"/>
      <c r="AA114" s="78"/>
      <c r="AB114" s="78"/>
    </row>
    <row r="115" spans="1:28" s="75" customFormat="1" ht="20.25" customHeight="1">
      <c r="A115" s="37" t="s">
        <v>171</v>
      </c>
      <c r="B115" s="37">
        <v>1</v>
      </c>
      <c r="C115" s="37"/>
      <c r="D115" s="37">
        <v>3</v>
      </c>
      <c r="E115" s="37"/>
      <c r="F115" s="37"/>
      <c r="G115" s="37"/>
      <c r="H115" s="37"/>
      <c r="I115" s="37"/>
      <c r="J115" s="37">
        <v>111</v>
      </c>
      <c r="K115" s="272">
        <v>329</v>
      </c>
      <c r="L115" s="337" t="s">
        <v>34</v>
      </c>
      <c r="M115" s="422">
        <f aca="true" t="shared" si="46" ref="M115:S115">M116+M117</f>
        <v>9310.372287477603</v>
      </c>
      <c r="N115" s="422">
        <f t="shared" si="46"/>
        <v>10352.379056340833</v>
      </c>
      <c r="O115" s="437">
        <f t="shared" si="46"/>
        <v>78000</v>
      </c>
      <c r="P115" s="437">
        <f t="shared" si="46"/>
        <v>10352.379056340833</v>
      </c>
      <c r="Q115" s="437">
        <f t="shared" si="46"/>
        <v>8695.97</v>
      </c>
      <c r="R115" s="437">
        <f t="shared" si="46"/>
        <v>11352.380000000001</v>
      </c>
      <c r="S115" s="437">
        <f t="shared" si="46"/>
        <v>10212.94</v>
      </c>
      <c r="T115" s="437">
        <f t="shared" si="39"/>
        <v>109.69421720908352</v>
      </c>
      <c r="U115" s="437">
        <f t="shared" si="40"/>
        <v>89.9629857351498</v>
      </c>
      <c r="V115" s="78"/>
      <c r="W115" s="78"/>
      <c r="X115" s="78"/>
      <c r="Y115" s="78"/>
      <c r="Z115" s="78"/>
      <c r="AA115" s="78"/>
      <c r="AB115" s="78"/>
    </row>
    <row r="116" spans="1:28" s="75" customFormat="1" ht="19.5" customHeight="1">
      <c r="A116" s="37" t="s">
        <v>171</v>
      </c>
      <c r="B116" s="37">
        <v>1</v>
      </c>
      <c r="C116" s="37"/>
      <c r="D116" s="37">
        <v>3</v>
      </c>
      <c r="E116" s="37"/>
      <c r="F116" s="37"/>
      <c r="G116" s="37"/>
      <c r="H116" s="37"/>
      <c r="I116" s="37"/>
      <c r="J116" s="37">
        <v>111</v>
      </c>
      <c r="K116" s="42">
        <v>3293</v>
      </c>
      <c r="L116" s="89" t="s">
        <v>57</v>
      </c>
      <c r="M116" s="422">
        <f>64649/7.5345</f>
        <v>8580.39684119716</v>
      </c>
      <c r="N116" s="422">
        <f>70000/7.5345</f>
        <v>9290.596589023824</v>
      </c>
      <c r="O116" s="422">
        <v>70000</v>
      </c>
      <c r="P116" s="422">
        <f>70000/7.5345</f>
        <v>9290.596589023824</v>
      </c>
      <c r="Q116" s="422">
        <f>7705.87+750.1</f>
        <v>8455.97</v>
      </c>
      <c r="R116" s="422">
        <v>9290.6</v>
      </c>
      <c r="S116" s="422">
        <f>7829.25+356.49</f>
        <v>8185.74</v>
      </c>
      <c r="T116" s="437">
        <f t="shared" si="39"/>
        <v>95.40048265247721</v>
      </c>
      <c r="U116" s="437">
        <f t="shared" si="40"/>
        <v>88.10776483757776</v>
      </c>
      <c r="V116" s="78"/>
      <c r="W116" s="78"/>
      <c r="X116" s="78"/>
      <c r="Y116" s="78"/>
      <c r="Z116" s="78"/>
      <c r="AA116" s="78"/>
      <c r="AB116" s="78"/>
    </row>
    <row r="117" spans="1:28" s="75" customFormat="1" ht="20.25" customHeight="1">
      <c r="A117" s="37" t="s">
        <v>171</v>
      </c>
      <c r="B117" s="37">
        <v>1</v>
      </c>
      <c r="C117" s="37"/>
      <c r="D117" s="37">
        <v>3</v>
      </c>
      <c r="E117" s="37"/>
      <c r="F117" s="37"/>
      <c r="G117" s="37"/>
      <c r="H117" s="37"/>
      <c r="I117" s="37"/>
      <c r="J117" s="37">
        <v>111</v>
      </c>
      <c r="K117" s="42">
        <v>3299</v>
      </c>
      <c r="L117" s="88" t="s">
        <v>142</v>
      </c>
      <c r="M117" s="422">
        <f>5500/7.5345</f>
        <v>729.9754462804433</v>
      </c>
      <c r="N117" s="422">
        <f>8000/7.5345</f>
        <v>1061.7824673170085</v>
      </c>
      <c r="O117" s="422">
        <v>8000</v>
      </c>
      <c r="P117" s="422">
        <f>8000/7.5345</f>
        <v>1061.7824673170085</v>
      </c>
      <c r="Q117" s="422">
        <v>240</v>
      </c>
      <c r="R117" s="422">
        <v>2061.78</v>
      </c>
      <c r="S117" s="422">
        <v>2027.2</v>
      </c>
      <c r="T117" s="437">
        <f t="shared" si="39"/>
        <v>277.70797090909093</v>
      </c>
      <c r="U117" s="437">
        <f t="shared" si="40"/>
        <v>98.32280844707</v>
      </c>
      <c r="V117" s="78"/>
      <c r="W117" s="78"/>
      <c r="X117" s="78"/>
      <c r="Y117" s="78"/>
      <c r="Z117" s="78"/>
      <c r="AA117" s="78"/>
      <c r="AB117" s="78"/>
    </row>
    <row r="118" spans="1:36" s="44" customFormat="1" ht="18.75" customHeight="1">
      <c r="A118" s="17" t="s">
        <v>171</v>
      </c>
      <c r="B118" s="17">
        <v>1</v>
      </c>
      <c r="C118" s="17"/>
      <c r="D118" s="17">
        <v>3</v>
      </c>
      <c r="E118" s="17"/>
      <c r="F118" s="17">
        <v>5</v>
      </c>
      <c r="G118" s="17"/>
      <c r="H118" s="17"/>
      <c r="I118" s="17"/>
      <c r="J118" s="17">
        <v>111</v>
      </c>
      <c r="K118" s="25">
        <v>38</v>
      </c>
      <c r="L118" s="51" t="s">
        <v>123</v>
      </c>
      <c r="M118" s="536"/>
      <c r="N118" s="423"/>
      <c r="O118" s="423"/>
      <c r="P118" s="423"/>
      <c r="Q118" s="423"/>
      <c r="R118" s="423"/>
      <c r="S118" s="423"/>
      <c r="T118" s="437" t="e">
        <f t="shared" si="39"/>
        <v>#DIV/0!</v>
      </c>
      <c r="U118" s="437" t="e">
        <f t="shared" si="40"/>
        <v>#DIV/0!</v>
      </c>
      <c r="V118" s="78"/>
      <c r="W118" s="78"/>
      <c r="X118" s="78"/>
      <c r="Y118" s="78"/>
      <c r="Z118" s="78"/>
      <c r="AA118" s="78"/>
      <c r="AB118" s="78"/>
      <c r="AC118" s="75"/>
      <c r="AD118" s="75"/>
      <c r="AE118" s="75"/>
      <c r="AF118" s="75"/>
      <c r="AG118" s="75"/>
      <c r="AH118" s="75"/>
      <c r="AI118" s="75"/>
      <c r="AJ118" s="75"/>
    </row>
    <row r="119" spans="1:36" s="44" customFormat="1" ht="15.75" customHeight="1">
      <c r="A119" s="17" t="s">
        <v>171</v>
      </c>
      <c r="B119" s="17">
        <v>1</v>
      </c>
      <c r="C119" s="17"/>
      <c r="D119" s="17">
        <v>3</v>
      </c>
      <c r="E119" s="17"/>
      <c r="F119" s="17">
        <v>5</v>
      </c>
      <c r="G119" s="17"/>
      <c r="H119" s="17"/>
      <c r="I119" s="17"/>
      <c r="J119" s="17">
        <v>111</v>
      </c>
      <c r="K119" s="25">
        <v>381</v>
      </c>
      <c r="L119" s="356" t="s">
        <v>123</v>
      </c>
      <c r="M119" s="536"/>
      <c r="N119" s="423"/>
      <c r="O119" s="423"/>
      <c r="P119" s="423"/>
      <c r="Q119" s="423"/>
      <c r="R119" s="423"/>
      <c r="S119" s="423"/>
      <c r="T119" s="437" t="e">
        <f t="shared" si="39"/>
        <v>#DIV/0!</v>
      </c>
      <c r="U119" s="437" t="e">
        <f t="shared" si="40"/>
        <v>#DIV/0!</v>
      </c>
      <c r="V119" s="78"/>
      <c r="W119" s="78"/>
      <c r="X119" s="78"/>
      <c r="Y119" s="78"/>
      <c r="Z119" s="78"/>
      <c r="AA119" s="78"/>
      <c r="AB119" s="78"/>
      <c r="AC119" s="75"/>
      <c r="AD119" s="75"/>
      <c r="AE119" s="75"/>
      <c r="AF119" s="75"/>
      <c r="AG119" s="75"/>
      <c r="AH119" s="75"/>
      <c r="AI119" s="75"/>
      <c r="AJ119" s="75"/>
    </row>
    <row r="120" spans="1:36" s="128" customFormat="1" ht="15.75" customHeight="1">
      <c r="A120" s="125"/>
      <c r="B120" s="125"/>
      <c r="C120" s="125"/>
      <c r="D120" s="125"/>
      <c r="E120" s="125"/>
      <c r="F120" s="125"/>
      <c r="G120" s="125"/>
      <c r="H120" s="125"/>
      <c r="I120" s="125"/>
      <c r="J120" s="125"/>
      <c r="K120" s="140"/>
      <c r="L120" s="127" t="s">
        <v>137</v>
      </c>
      <c r="M120" s="421">
        <f aca="true" t="shared" si="47" ref="M120:S120">M103</f>
        <v>59960.71404870927</v>
      </c>
      <c r="N120" s="421">
        <f t="shared" si="47"/>
        <v>61106.24460813591</v>
      </c>
      <c r="O120" s="421">
        <f t="shared" si="47"/>
        <v>460405</v>
      </c>
      <c r="P120" s="421">
        <f t="shared" si="47"/>
        <v>61106.24460813591</v>
      </c>
      <c r="Q120" s="421">
        <f t="shared" si="47"/>
        <v>34050.49</v>
      </c>
      <c r="R120" s="421">
        <f t="shared" si="47"/>
        <v>62137.06</v>
      </c>
      <c r="S120" s="421">
        <f t="shared" si="47"/>
        <v>60997.619999999995</v>
      </c>
      <c r="T120" s="421">
        <f t="shared" si="39"/>
        <v>101.72930887789026</v>
      </c>
      <c r="U120" s="421">
        <f t="shared" si="40"/>
        <v>98.16624732486538</v>
      </c>
      <c r="V120" s="78"/>
      <c r="W120" s="78"/>
      <c r="X120" s="78"/>
      <c r="Y120" s="78"/>
      <c r="Z120" s="78"/>
      <c r="AA120" s="78"/>
      <c r="AB120" s="78"/>
      <c r="AC120" s="75"/>
      <c r="AD120" s="75"/>
      <c r="AE120" s="75"/>
      <c r="AF120" s="75"/>
      <c r="AG120" s="75"/>
      <c r="AH120" s="75"/>
      <c r="AI120" s="75"/>
      <c r="AJ120" s="75"/>
    </row>
    <row r="121" spans="1:36" s="46" customFormat="1" ht="15.75" customHeight="1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45"/>
      <c r="M121" s="429"/>
      <c r="N121" s="429"/>
      <c r="O121" s="429"/>
      <c r="P121" s="429"/>
      <c r="Q121" s="429"/>
      <c r="R121" s="429"/>
      <c r="S121" s="429"/>
      <c r="T121" s="429"/>
      <c r="U121" s="429"/>
      <c r="V121" s="78"/>
      <c r="W121" s="78"/>
      <c r="X121" s="78"/>
      <c r="Y121" s="78"/>
      <c r="Z121" s="78"/>
      <c r="AA121" s="78"/>
      <c r="AB121" s="78"/>
      <c r="AC121" s="78"/>
      <c r="AD121" s="78"/>
      <c r="AE121" s="78"/>
      <c r="AF121" s="78"/>
      <c r="AG121" s="78"/>
      <c r="AH121" s="78"/>
      <c r="AI121" s="78"/>
      <c r="AJ121" s="78"/>
    </row>
    <row r="122" spans="1:36" s="212" customFormat="1" ht="39" customHeight="1">
      <c r="A122" s="79" t="s">
        <v>433</v>
      </c>
      <c r="B122" s="79">
        <v>1</v>
      </c>
      <c r="C122" s="79"/>
      <c r="D122" s="79"/>
      <c r="E122" s="79"/>
      <c r="F122" s="79"/>
      <c r="G122" s="79"/>
      <c r="H122" s="79"/>
      <c r="I122" s="79"/>
      <c r="J122" s="79"/>
      <c r="K122" s="41" t="s">
        <v>323</v>
      </c>
      <c r="L122" s="367" t="s">
        <v>487</v>
      </c>
      <c r="M122" s="430"/>
      <c r="N122" s="430"/>
      <c r="O122" s="430"/>
      <c r="P122" s="430"/>
      <c r="Q122" s="430"/>
      <c r="R122" s="430"/>
      <c r="S122" s="430"/>
      <c r="T122" s="430"/>
      <c r="U122" s="430"/>
      <c r="V122" s="78"/>
      <c r="W122" s="78"/>
      <c r="X122" s="78"/>
      <c r="Y122" s="78"/>
      <c r="Z122" s="78"/>
      <c r="AA122" s="78"/>
      <c r="AB122" s="78"/>
      <c r="AC122" s="78"/>
      <c r="AD122" s="78"/>
      <c r="AE122" s="78"/>
      <c r="AF122" s="78"/>
      <c r="AG122" s="78"/>
      <c r="AH122" s="78"/>
      <c r="AI122" s="78"/>
      <c r="AJ122" s="78"/>
    </row>
    <row r="123" spans="1:36" s="44" customFormat="1" ht="18" customHeight="1">
      <c r="A123" s="17" t="s">
        <v>433</v>
      </c>
      <c r="B123" s="17">
        <v>1</v>
      </c>
      <c r="C123" s="17"/>
      <c r="D123" s="17">
        <v>3</v>
      </c>
      <c r="E123" s="17"/>
      <c r="F123" s="17"/>
      <c r="G123" s="17"/>
      <c r="H123" s="17"/>
      <c r="I123" s="17"/>
      <c r="J123" s="37">
        <v>111</v>
      </c>
      <c r="K123" s="272">
        <v>38</v>
      </c>
      <c r="L123" s="278" t="s">
        <v>11</v>
      </c>
      <c r="M123" s="422">
        <f aca="true" t="shared" si="48" ref="M123:S123">M124</f>
        <v>0</v>
      </c>
      <c r="N123" s="422">
        <f t="shared" si="48"/>
        <v>1327.2280841462605</v>
      </c>
      <c r="O123" s="437">
        <f t="shared" si="48"/>
        <v>10000</v>
      </c>
      <c r="P123" s="437">
        <f t="shared" si="48"/>
        <v>1327.2280841462605</v>
      </c>
      <c r="Q123" s="437">
        <f t="shared" si="48"/>
        <v>0</v>
      </c>
      <c r="R123" s="437">
        <f t="shared" si="48"/>
        <v>1327.23</v>
      </c>
      <c r="S123" s="437">
        <f t="shared" si="48"/>
        <v>0</v>
      </c>
      <c r="T123" s="437" t="e">
        <f>S123/M123*100</f>
        <v>#DIV/0!</v>
      </c>
      <c r="U123" s="437">
        <f>S123/R123*100</f>
        <v>0</v>
      </c>
      <c r="V123" s="78"/>
      <c r="W123" s="78"/>
      <c r="X123" s="78"/>
      <c r="Y123" s="78"/>
      <c r="Z123" s="78"/>
      <c r="AA123" s="78"/>
      <c r="AB123" s="78"/>
      <c r="AC123" s="75"/>
      <c r="AD123" s="75"/>
      <c r="AE123" s="75"/>
      <c r="AF123" s="75"/>
      <c r="AG123" s="75"/>
      <c r="AH123" s="75"/>
      <c r="AI123" s="75"/>
      <c r="AJ123" s="75"/>
    </row>
    <row r="124" spans="1:36" s="44" customFormat="1" ht="21" customHeight="1">
      <c r="A124" s="17" t="s">
        <v>433</v>
      </c>
      <c r="B124" s="17">
        <v>1</v>
      </c>
      <c r="C124" s="17"/>
      <c r="D124" s="17">
        <v>3</v>
      </c>
      <c r="E124" s="17"/>
      <c r="F124" s="17"/>
      <c r="G124" s="17"/>
      <c r="H124" s="17"/>
      <c r="I124" s="17"/>
      <c r="J124" s="37">
        <v>111</v>
      </c>
      <c r="K124" s="22">
        <v>385</v>
      </c>
      <c r="L124" s="49" t="s">
        <v>289</v>
      </c>
      <c r="M124" s="422">
        <v>0</v>
      </c>
      <c r="N124" s="422">
        <f>10000/7.5345</f>
        <v>1327.2280841462605</v>
      </c>
      <c r="O124" s="422">
        <v>10000</v>
      </c>
      <c r="P124" s="422">
        <f>10000/7.5345</f>
        <v>1327.2280841462605</v>
      </c>
      <c r="Q124" s="422">
        <v>0</v>
      </c>
      <c r="R124" s="422">
        <v>1327.23</v>
      </c>
      <c r="S124" s="422"/>
      <c r="T124" s="437" t="e">
        <f>S124/M124*100</f>
        <v>#DIV/0!</v>
      </c>
      <c r="U124" s="437">
        <f>S124/R124*100</f>
        <v>0</v>
      </c>
      <c r="V124" s="78"/>
      <c r="W124" s="78"/>
      <c r="X124" s="78"/>
      <c r="Y124" s="78"/>
      <c r="Z124" s="78"/>
      <c r="AA124" s="78"/>
      <c r="AB124" s="78"/>
      <c r="AC124" s="75"/>
      <c r="AD124" s="75"/>
      <c r="AE124" s="75"/>
      <c r="AF124" s="75"/>
      <c r="AG124" s="75"/>
      <c r="AH124" s="75"/>
      <c r="AI124" s="75"/>
      <c r="AJ124" s="75"/>
    </row>
    <row r="125" spans="1:36" s="128" customFormat="1" ht="15.75">
      <c r="A125" s="125"/>
      <c r="B125" s="125"/>
      <c r="C125" s="125"/>
      <c r="D125" s="125"/>
      <c r="E125" s="125"/>
      <c r="F125" s="125"/>
      <c r="G125" s="125"/>
      <c r="H125" s="125"/>
      <c r="I125" s="125"/>
      <c r="J125" s="125"/>
      <c r="K125" s="137"/>
      <c r="L125" s="139" t="s">
        <v>86</v>
      </c>
      <c r="M125" s="445">
        <f aca="true" t="shared" si="49" ref="M125:S125">M123</f>
        <v>0</v>
      </c>
      <c r="N125" s="445">
        <f t="shared" si="49"/>
        <v>1327.2280841462605</v>
      </c>
      <c r="O125" s="445">
        <f t="shared" si="49"/>
        <v>10000</v>
      </c>
      <c r="P125" s="445">
        <f t="shared" si="49"/>
        <v>1327.2280841462605</v>
      </c>
      <c r="Q125" s="445">
        <f t="shared" si="49"/>
        <v>0</v>
      </c>
      <c r="R125" s="445">
        <f t="shared" si="49"/>
        <v>1327.23</v>
      </c>
      <c r="S125" s="445">
        <f t="shared" si="49"/>
        <v>0</v>
      </c>
      <c r="T125" s="421" t="e">
        <f>S125/M125*100</f>
        <v>#DIV/0!</v>
      </c>
      <c r="U125" s="421">
        <f>S125/R125*100</f>
        <v>0</v>
      </c>
      <c r="V125" s="78"/>
      <c r="W125" s="78"/>
      <c r="X125" s="78"/>
      <c r="Y125" s="78"/>
      <c r="Z125" s="78"/>
      <c r="AA125" s="78"/>
      <c r="AB125" s="78"/>
      <c r="AC125" s="75"/>
      <c r="AD125" s="75"/>
      <c r="AE125" s="75"/>
      <c r="AF125" s="75"/>
      <c r="AG125" s="75"/>
      <c r="AH125" s="75"/>
      <c r="AI125" s="75"/>
      <c r="AJ125" s="75"/>
    </row>
    <row r="126" spans="1:36" s="208" customFormat="1" ht="15.75">
      <c r="A126" s="82"/>
      <c r="B126" s="82"/>
      <c r="C126" s="82"/>
      <c r="D126" s="82"/>
      <c r="E126" s="82"/>
      <c r="F126" s="82"/>
      <c r="G126" s="82"/>
      <c r="H126" s="82"/>
      <c r="I126" s="82"/>
      <c r="J126" s="82"/>
      <c r="K126" s="109"/>
      <c r="L126" s="355" t="s">
        <v>173</v>
      </c>
      <c r="M126" s="432">
        <f aca="true" t="shared" si="50" ref="M126:S126">M120+M125</f>
        <v>59960.71404870927</v>
      </c>
      <c r="N126" s="432">
        <f t="shared" si="50"/>
        <v>62433.47269228217</v>
      </c>
      <c r="O126" s="432">
        <f t="shared" si="50"/>
        <v>470405</v>
      </c>
      <c r="P126" s="432">
        <f t="shared" si="50"/>
        <v>62433.47269228217</v>
      </c>
      <c r="Q126" s="432">
        <f t="shared" si="50"/>
        <v>34050.49</v>
      </c>
      <c r="R126" s="432">
        <f t="shared" si="50"/>
        <v>63464.29</v>
      </c>
      <c r="S126" s="432">
        <f t="shared" si="50"/>
        <v>60997.619999999995</v>
      </c>
      <c r="T126" s="432">
        <f>S126/M126*100</f>
        <v>101.72930887789026</v>
      </c>
      <c r="U126" s="446">
        <f>S126/R126*100</f>
        <v>96.1132945787308</v>
      </c>
      <c r="V126" s="78"/>
      <c r="W126" s="78"/>
      <c r="X126" s="78"/>
      <c r="Y126" s="78"/>
      <c r="Z126" s="78"/>
      <c r="AA126" s="78"/>
      <c r="AB126" s="78"/>
      <c r="AC126" s="75"/>
      <c r="AD126" s="75"/>
      <c r="AE126" s="75"/>
      <c r="AF126" s="75"/>
      <c r="AG126" s="75"/>
      <c r="AH126" s="75"/>
      <c r="AI126" s="75"/>
      <c r="AJ126" s="75"/>
    </row>
    <row r="127" spans="1:36" s="210" customFormat="1" ht="15.75">
      <c r="A127" s="82"/>
      <c r="B127" s="82"/>
      <c r="C127" s="82"/>
      <c r="D127" s="82"/>
      <c r="E127" s="82"/>
      <c r="F127" s="82"/>
      <c r="G127" s="82"/>
      <c r="H127" s="82"/>
      <c r="I127" s="82"/>
      <c r="J127" s="82"/>
      <c r="K127" s="110"/>
      <c r="L127" s="364" t="s">
        <v>166</v>
      </c>
      <c r="M127" s="433">
        <f aca="true" t="shared" si="51" ref="M127:S127">M126</f>
        <v>59960.71404870927</v>
      </c>
      <c r="N127" s="433">
        <f t="shared" si="51"/>
        <v>62433.47269228217</v>
      </c>
      <c r="O127" s="433">
        <f t="shared" si="51"/>
        <v>470405</v>
      </c>
      <c r="P127" s="433">
        <f t="shared" si="51"/>
        <v>62433.47269228217</v>
      </c>
      <c r="Q127" s="433">
        <f t="shared" si="51"/>
        <v>34050.49</v>
      </c>
      <c r="R127" s="433">
        <f t="shared" si="51"/>
        <v>63464.29</v>
      </c>
      <c r="S127" s="433">
        <f t="shared" si="51"/>
        <v>60997.619999999995</v>
      </c>
      <c r="T127" s="433">
        <f>S127/M127*100</f>
        <v>101.72930887789026</v>
      </c>
      <c r="U127" s="433">
        <f>S127/R127*100</f>
        <v>96.1132945787308</v>
      </c>
      <c r="V127" s="78"/>
      <c r="W127" s="78"/>
      <c r="X127" s="78"/>
      <c r="Y127" s="78"/>
      <c r="Z127" s="78"/>
      <c r="AA127" s="78"/>
      <c r="AB127" s="78"/>
      <c r="AC127" s="75"/>
      <c r="AD127" s="75"/>
      <c r="AE127" s="75"/>
      <c r="AF127" s="75"/>
      <c r="AG127" s="75"/>
      <c r="AH127" s="75"/>
      <c r="AI127" s="75"/>
      <c r="AJ127" s="75"/>
    </row>
    <row r="128" spans="1:36" s="46" customFormat="1" ht="16.5" customHeight="1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53"/>
      <c r="M128" s="429"/>
      <c r="N128" s="429"/>
      <c r="O128" s="429"/>
      <c r="P128" s="429"/>
      <c r="Q128" s="429"/>
      <c r="R128" s="429"/>
      <c r="S128" s="429"/>
      <c r="T128" s="429"/>
      <c r="U128" s="429"/>
      <c r="V128" s="78"/>
      <c r="W128" s="78"/>
      <c r="X128" s="78"/>
      <c r="Y128" s="78"/>
      <c r="Z128" s="78"/>
      <c r="AA128" s="78"/>
      <c r="AB128" s="78"/>
      <c r="AC128" s="78"/>
      <c r="AD128" s="78"/>
      <c r="AE128" s="78"/>
      <c r="AF128" s="78"/>
      <c r="AG128" s="78"/>
      <c r="AH128" s="78"/>
      <c r="AI128" s="78"/>
      <c r="AJ128" s="78"/>
    </row>
    <row r="129" spans="1:36" s="44" customFormat="1" ht="3" customHeight="1" hidden="1">
      <c r="A129" s="28"/>
      <c r="B129" s="28"/>
      <c r="C129" s="28"/>
      <c r="D129" s="28"/>
      <c r="E129" s="28"/>
      <c r="F129" s="28"/>
      <c r="G129" s="28"/>
      <c r="H129" s="28"/>
      <c r="I129" s="28"/>
      <c r="J129" s="28"/>
      <c r="K129" s="16"/>
      <c r="L129" s="43"/>
      <c r="M129" s="452"/>
      <c r="N129" s="452"/>
      <c r="O129" s="452"/>
      <c r="P129" s="452"/>
      <c r="Q129" s="452"/>
      <c r="R129" s="429"/>
      <c r="S129" s="429"/>
      <c r="T129" s="429"/>
      <c r="U129" s="429"/>
      <c r="V129" s="78"/>
      <c r="W129" s="78"/>
      <c r="X129" s="78"/>
      <c r="Y129" s="78"/>
      <c r="Z129" s="78"/>
      <c r="AA129" s="78"/>
      <c r="AB129" s="78"/>
      <c r="AC129" s="75"/>
      <c r="AD129" s="75"/>
      <c r="AE129" s="75"/>
      <c r="AF129" s="75"/>
      <c r="AG129" s="75"/>
      <c r="AH129" s="75"/>
      <c r="AI129" s="75"/>
      <c r="AJ129" s="75"/>
    </row>
    <row r="130" spans="1:36" s="128" customFormat="1" ht="15.75">
      <c r="A130" s="219"/>
      <c r="B130" s="219"/>
      <c r="C130" s="219"/>
      <c r="D130" s="219"/>
      <c r="E130" s="219"/>
      <c r="F130" s="219"/>
      <c r="G130" s="219"/>
      <c r="H130" s="219"/>
      <c r="I130" s="219"/>
      <c r="J130" s="219"/>
      <c r="K130" s="219" t="s">
        <v>129</v>
      </c>
      <c r="L130" s="220" t="s">
        <v>179</v>
      </c>
      <c r="M130" s="451"/>
      <c r="N130" s="451"/>
      <c r="O130" s="451"/>
      <c r="P130" s="451"/>
      <c r="Q130" s="451"/>
      <c r="R130" s="451"/>
      <c r="S130" s="451"/>
      <c r="T130" s="451"/>
      <c r="U130" s="451"/>
      <c r="V130" s="78"/>
      <c r="W130" s="78"/>
      <c r="X130" s="78"/>
      <c r="Y130" s="78"/>
      <c r="Z130" s="78"/>
      <c r="AA130" s="78"/>
      <c r="AB130" s="78"/>
      <c r="AC130" s="75"/>
      <c r="AD130" s="75"/>
      <c r="AE130" s="75"/>
      <c r="AF130" s="75"/>
      <c r="AG130" s="75"/>
      <c r="AH130" s="75"/>
      <c r="AI130" s="75"/>
      <c r="AJ130" s="75"/>
    </row>
    <row r="131" spans="1:36" s="124" customFormat="1" ht="15">
      <c r="A131" s="211"/>
      <c r="B131" s="211"/>
      <c r="C131" s="211"/>
      <c r="D131" s="211"/>
      <c r="E131" s="211"/>
      <c r="F131" s="211"/>
      <c r="G131" s="211"/>
      <c r="H131" s="211"/>
      <c r="I131" s="211"/>
      <c r="J131" s="211"/>
      <c r="K131" s="211" t="s">
        <v>85</v>
      </c>
      <c r="L131" s="215" t="s">
        <v>55</v>
      </c>
      <c r="M131" s="448"/>
      <c r="N131" s="448"/>
      <c r="O131" s="448"/>
      <c r="P131" s="448"/>
      <c r="Q131" s="448"/>
      <c r="R131" s="448"/>
      <c r="S131" s="448"/>
      <c r="T131" s="448"/>
      <c r="U131" s="448"/>
      <c r="V131" s="78"/>
      <c r="W131" s="78"/>
      <c r="X131" s="78"/>
      <c r="Y131" s="78"/>
      <c r="Z131" s="78"/>
      <c r="AA131" s="78"/>
      <c r="AB131" s="78"/>
      <c r="AC131" s="75"/>
      <c r="AD131" s="75"/>
      <c r="AE131" s="75"/>
      <c r="AF131" s="75"/>
      <c r="AG131" s="75"/>
      <c r="AH131" s="75"/>
      <c r="AI131" s="75"/>
      <c r="AJ131" s="75"/>
    </row>
    <row r="132" spans="1:36" s="44" customFormat="1" ht="15">
      <c r="A132" s="619"/>
      <c r="B132" s="619"/>
      <c r="C132" s="619"/>
      <c r="D132" s="619"/>
      <c r="E132" s="619"/>
      <c r="F132" s="619"/>
      <c r="G132" s="619"/>
      <c r="H132" s="619"/>
      <c r="I132" s="619"/>
      <c r="J132" s="32"/>
      <c r="K132" s="32" t="s">
        <v>54</v>
      </c>
      <c r="L132" s="221" t="s">
        <v>37</v>
      </c>
      <c r="M132" s="429"/>
      <c r="N132" s="429"/>
      <c r="O132" s="429"/>
      <c r="P132" s="429"/>
      <c r="Q132" s="429"/>
      <c r="R132" s="429"/>
      <c r="S132" s="429"/>
      <c r="T132" s="429"/>
      <c r="U132" s="429"/>
      <c r="V132" s="78"/>
      <c r="W132" s="78"/>
      <c r="X132" s="78"/>
      <c r="Y132" s="78"/>
      <c r="Z132" s="78"/>
      <c r="AA132" s="78"/>
      <c r="AB132" s="78"/>
      <c r="AC132" s="75"/>
      <c r="AD132" s="75"/>
      <c r="AE132" s="75"/>
      <c r="AF132" s="75"/>
      <c r="AG132" s="75"/>
      <c r="AH132" s="75"/>
      <c r="AI132" s="75"/>
      <c r="AJ132" s="75"/>
    </row>
    <row r="133" spans="1:36" s="193" customFormat="1" ht="15.75">
      <c r="A133" s="79" t="s">
        <v>177</v>
      </c>
      <c r="B133" s="79"/>
      <c r="C133" s="79"/>
      <c r="D133" s="79"/>
      <c r="E133" s="79"/>
      <c r="F133" s="79"/>
      <c r="G133" s="79"/>
      <c r="H133" s="79"/>
      <c r="I133" s="79"/>
      <c r="J133" s="79"/>
      <c r="K133" s="41" t="s">
        <v>176</v>
      </c>
      <c r="L133" s="217" t="s">
        <v>254</v>
      </c>
      <c r="M133" s="430"/>
      <c r="N133" s="430"/>
      <c r="O133" s="430"/>
      <c r="P133" s="430"/>
      <c r="Q133" s="430"/>
      <c r="R133" s="430"/>
      <c r="S133" s="430"/>
      <c r="T133" s="430"/>
      <c r="U133" s="430"/>
      <c r="V133" s="78"/>
      <c r="W133" s="78"/>
      <c r="X133" s="78"/>
      <c r="Y133" s="78"/>
      <c r="Z133" s="78"/>
      <c r="AA133" s="78"/>
      <c r="AB133" s="78"/>
      <c r="AC133" s="75"/>
      <c r="AD133" s="75"/>
      <c r="AE133" s="75"/>
      <c r="AF133" s="75"/>
      <c r="AG133" s="75"/>
      <c r="AH133" s="75"/>
      <c r="AI133" s="75"/>
      <c r="AJ133" s="75"/>
    </row>
    <row r="134" spans="1:36" s="193" customFormat="1" ht="18" customHeight="1">
      <c r="A134" s="79" t="s">
        <v>178</v>
      </c>
      <c r="B134" s="79"/>
      <c r="C134" s="79"/>
      <c r="D134" s="79"/>
      <c r="E134" s="79"/>
      <c r="F134" s="79"/>
      <c r="G134" s="79"/>
      <c r="H134" s="79"/>
      <c r="I134" s="79"/>
      <c r="J134" s="79"/>
      <c r="K134" s="41" t="s">
        <v>25</v>
      </c>
      <c r="L134" s="218" t="s">
        <v>55</v>
      </c>
      <c r="M134" s="430"/>
      <c r="N134" s="430"/>
      <c r="O134" s="430"/>
      <c r="P134" s="430"/>
      <c r="Q134" s="430"/>
      <c r="R134" s="430"/>
      <c r="S134" s="430"/>
      <c r="T134" s="430"/>
      <c r="U134" s="430"/>
      <c r="V134" s="78"/>
      <c r="W134" s="78"/>
      <c r="X134" s="78"/>
      <c r="Y134" s="78"/>
      <c r="Z134" s="78"/>
      <c r="AA134" s="78"/>
      <c r="AB134" s="78"/>
      <c r="AC134" s="75"/>
      <c r="AD134" s="75"/>
      <c r="AE134" s="75"/>
      <c r="AF134" s="75"/>
      <c r="AG134" s="75"/>
      <c r="AH134" s="75"/>
      <c r="AI134" s="75"/>
      <c r="AJ134" s="75"/>
    </row>
    <row r="135" spans="1:28" s="75" customFormat="1" ht="15.75">
      <c r="A135" s="37" t="s">
        <v>178</v>
      </c>
      <c r="B135" s="37">
        <v>1</v>
      </c>
      <c r="C135" s="37"/>
      <c r="D135" s="37"/>
      <c r="E135" s="37"/>
      <c r="F135" s="37"/>
      <c r="G135" s="37"/>
      <c r="H135" s="37"/>
      <c r="I135" s="37"/>
      <c r="J135" s="37">
        <v>112</v>
      </c>
      <c r="K135" s="272">
        <v>3</v>
      </c>
      <c r="L135" s="334" t="s">
        <v>150</v>
      </c>
      <c r="M135" s="422">
        <f aca="true" t="shared" si="52" ref="M135:S135">M136+M150+M193+M200</f>
        <v>313514.89813524456</v>
      </c>
      <c r="N135" s="422">
        <f t="shared" si="52"/>
        <v>302755.15827194904</v>
      </c>
      <c r="O135" s="422">
        <f t="shared" si="52"/>
        <v>2127599.809812197</v>
      </c>
      <c r="P135" s="422">
        <f t="shared" si="52"/>
        <v>302755.15827194904</v>
      </c>
      <c r="Q135" s="422">
        <f t="shared" si="52"/>
        <v>163872.89</v>
      </c>
      <c r="R135" s="422">
        <f t="shared" si="52"/>
        <v>329046.56</v>
      </c>
      <c r="S135" s="422">
        <f t="shared" si="52"/>
        <v>338482.8900000001</v>
      </c>
      <c r="T135" s="437">
        <f>S135/M135*100</f>
        <v>107.96389326735752</v>
      </c>
      <c r="U135" s="437">
        <f>S135/R135*100</f>
        <v>102.86777956286797</v>
      </c>
      <c r="V135" s="78"/>
      <c r="W135" s="78"/>
      <c r="X135" s="78"/>
      <c r="Y135" s="78"/>
      <c r="Z135" s="78"/>
      <c r="AA135" s="78"/>
      <c r="AB135" s="78"/>
    </row>
    <row r="136" spans="1:28" s="75" customFormat="1" ht="15">
      <c r="A136" s="37" t="s">
        <v>178</v>
      </c>
      <c r="B136" s="37">
        <v>1</v>
      </c>
      <c r="C136" s="37"/>
      <c r="D136" s="37"/>
      <c r="E136" s="37"/>
      <c r="F136" s="37"/>
      <c r="G136" s="37"/>
      <c r="H136" s="37"/>
      <c r="I136" s="37"/>
      <c r="J136" s="37">
        <v>112</v>
      </c>
      <c r="K136" s="272">
        <v>31</v>
      </c>
      <c r="L136" s="358" t="s">
        <v>148</v>
      </c>
      <c r="M136" s="422">
        <f aca="true" t="shared" si="53" ref="M136:S136">M137+M140+M147</f>
        <v>154314.68577875107</v>
      </c>
      <c r="N136" s="422">
        <f t="shared" si="53"/>
        <v>150670.9589222908</v>
      </c>
      <c r="O136" s="422">
        <f t="shared" si="53"/>
        <v>999066.9536439046</v>
      </c>
      <c r="P136" s="422">
        <f t="shared" si="53"/>
        <v>150670.9589222908</v>
      </c>
      <c r="Q136" s="422">
        <f t="shared" si="53"/>
        <v>75052.01</v>
      </c>
      <c r="R136" s="422">
        <f t="shared" si="53"/>
        <v>144928.46</v>
      </c>
      <c r="S136" s="422">
        <f t="shared" si="53"/>
        <v>145711.63</v>
      </c>
      <c r="T136" s="437">
        <f aca="true" t="shared" si="54" ref="T136:T199">S136/M136*100</f>
        <v>94.42499219349368</v>
      </c>
      <c r="U136" s="437">
        <f aca="true" t="shared" si="55" ref="U136:U199">S136/R136*100</f>
        <v>100.54038385559332</v>
      </c>
      <c r="V136" s="78"/>
      <c r="W136" s="78"/>
      <c r="X136" s="78"/>
      <c r="Y136" s="78"/>
      <c r="Z136" s="78"/>
      <c r="AA136" s="78"/>
      <c r="AB136" s="78"/>
    </row>
    <row r="137" spans="1:28" s="75" customFormat="1" ht="18" customHeight="1">
      <c r="A137" s="37" t="s">
        <v>178</v>
      </c>
      <c r="B137" s="37">
        <v>1</v>
      </c>
      <c r="C137" s="37"/>
      <c r="D137" s="37"/>
      <c r="E137" s="37"/>
      <c r="F137" s="37"/>
      <c r="G137" s="37"/>
      <c r="H137" s="37"/>
      <c r="I137" s="37"/>
      <c r="J137" s="37">
        <v>112</v>
      </c>
      <c r="K137" s="272">
        <v>311</v>
      </c>
      <c r="L137" s="334" t="s">
        <v>149</v>
      </c>
      <c r="M137" s="422">
        <f aca="true" t="shared" si="56" ref="M137:S137">M138+M139</f>
        <v>126552.25960581325</v>
      </c>
      <c r="N137" s="422">
        <f t="shared" si="56"/>
        <v>126086.66799389475</v>
      </c>
      <c r="O137" s="422">
        <f t="shared" si="56"/>
        <v>950000</v>
      </c>
      <c r="P137" s="422">
        <f t="shared" si="56"/>
        <v>126086.66799389475</v>
      </c>
      <c r="Q137" s="422">
        <f t="shared" si="56"/>
        <v>58292.84</v>
      </c>
      <c r="R137" s="422">
        <f t="shared" si="56"/>
        <v>115697.5</v>
      </c>
      <c r="S137" s="422">
        <f t="shared" si="56"/>
        <v>116370.06</v>
      </c>
      <c r="T137" s="437">
        <f t="shared" si="54"/>
        <v>91.95415424621504</v>
      </c>
      <c r="U137" s="437">
        <f t="shared" si="55"/>
        <v>100.58130901704875</v>
      </c>
      <c r="V137" s="78"/>
      <c r="W137" s="78"/>
      <c r="X137" s="78"/>
      <c r="Y137" s="78"/>
      <c r="Z137" s="78"/>
      <c r="AA137" s="78"/>
      <c r="AB137" s="78"/>
    </row>
    <row r="138" spans="1:28" s="75" customFormat="1" ht="20.25" customHeight="1">
      <c r="A138" s="37" t="s">
        <v>178</v>
      </c>
      <c r="B138" s="37">
        <v>1</v>
      </c>
      <c r="C138" s="37"/>
      <c r="D138" s="37"/>
      <c r="E138" s="37"/>
      <c r="F138" s="37"/>
      <c r="G138" s="37"/>
      <c r="H138" s="37"/>
      <c r="I138" s="37"/>
      <c r="J138" s="37">
        <v>112</v>
      </c>
      <c r="K138" s="42">
        <v>3111</v>
      </c>
      <c r="L138" s="345" t="s">
        <v>111</v>
      </c>
      <c r="M138" s="422">
        <f>953508/7.5345</f>
        <v>126552.25960581325</v>
      </c>
      <c r="N138" s="422">
        <f>950000/7.5345</f>
        <v>126086.66799389475</v>
      </c>
      <c r="O138" s="422">
        <v>950000</v>
      </c>
      <c r="P138" s="422">
        <f>950000/7.5345</f>
        <v>126086.66799389475</v>
      </c>
      <c r="Q138" s="422">
        <v>58292.84</v>
      </c>
      <c r="R138" s="422">
        <f>96632.34+9532.58+9532.58</f>
        <v>115697.5</v>
      </c>
      <c r="S138" s="422">
        <v>116370.06</v>
      </c>
      <c r="T138" s="437">
        <f t="shared" si="54"/>
        <v>91.95415424621504</v>
      </c>
      <c r="U138" s="437">
        <f t="shared" si="55"/>
        <v>100.58130901704875</v>
      </c>
      <c r="V138" s="78"/>
      <c r="W138" s="78"/>
      <c r="X138" s="78"/>
      <c r="Y138" s="78"/>
      <c r="Z138" s="78"/>
      <c r="AA138" s="78"/>
      <c r="AB138" s="78"/>
    </row>
    <row r="139" spans="1:28" s="75" customFormat="1" ht="21" customHeight="1">
      <c r="A139" s="37" t="s">
        <v>178</v>
      </c>
      <c r="B139" s="37">
        <v>1</v>
      </c>
      <c r="C139" s="37"/>
      <c r="D139" s="37"/>
      <c r="E139" s="37"/>
      <c r="F139" s="37"/>
      <c r="G139" s="37"/>
      <c r="H139" s="37"/>
      <c r="I139" s="37"/>
      <c r="J139" s="37">
        <v>112</v>
      </c>
      <c r="K139" s="42">
        <v>3113</v>
      </c>
      <c r="L139" s="88" t="s">
        <v>102</v>
      </c>
      <c r="M139" s="422">
        <v>0</v>
      </c>
      <c r="N139" s="422">
        <v>0</v>
      </c>
      <c r="O139" s="422">
        <v>0</v>
      </c>
      <c r="P139" s="422">
        <v>0</v>
      </c>
      <c r="Q139" s="422">
        <v>0</v>
      </c>
      <c r="R139" s="422"/>
      <c r="S139" s="422"/>
      <c r="T139" s="437" t="e">
        <f t="shared" si="54"/>
        <v>#DIV/0!</v>
      </c>
      <c r="U139" s="437" t="e">
        <f t="shared" si="55"/>
        <v>#DIV/0!</v>
      </c>
      <c r="V139" s="78"/>
      <c r="W139" s="78"/>
      <c r="X139" s="78"/>
      <c r="Y139" s="78"/>
      <c r="Z139" s="78"/>
      <c r="AA139" s="78"/>
      <c r="AB139" s="78"/>
    </row>
    <row r="140" spans="1:28" s="75" customFormat="1" ht="20.25" customHeight="1">
      <c r="A140" s="37" t="s">
        <v>178</v>
      </c>
      <c r="B140" s="37">
        <v>1</v>
      </c>
      <c r="C140" s="37"/>
      <c r="D140" s="37"/>
      <c r="E140" s="37"/>
      <c r="F140" s="37"/>
      <c r="G140" s="37"/>
      <c r="H140" s="37"/>
      <c r="I140" s="37"/>
      <c r="J140" s="37">
        <v>112</v>
      </c>
      <c r="K140" s="272">
        <v>312</v>
      </c>
      <c r="L140" s="337" t="s">
        <v>3</v>
      </c>
      <c r="M140" s="422">
        <f aca="true" t="shared" si="57" ref="M140:S140">M141</f>
        <v>6869.865286349459</v>
      </c>
      <c r="N140" s="422">
        <f t="shared" si="57"/>
        <v>3746.67728449134</v>
      </c>
      <c r="O140" s="422">
        <f t="shared" si="57"/>
        <v>28229.34</v>
      </c>
      <c r="P140" s="422">
        <f t="shared" si="57"/>
        <v>3746.67728449134</v>
      </c>
      <c r="Q140" s="422">
        <f t="shared" si="57"/>
        <v>7140.84</v>
      </c>
      <c r="R140" s="422">
        <f t="shared" si="57"/>
        <v>10140.84</v>
      </c>
      <c r="S140" s="422">
        <f t="shared" si="57"/>
        <v>10140.48</v>
      </c>
      <c r="T140" s="437">
        <f t="shared" si="54"/>
        <v>147.6081346187284</v>
      </c>
      <c r="U140" s="437">
        <f t="shared" si="55"/>
        <v>99.99644999822499</v>
      </c>
      <c r="V140" s="78"/>
      <c r="W140" s="78"/>
      <c r="X140" s="78"/>
      <c r="Y140" s="78"/>
      <c r="Z140" s="78"/>
      <c r="AA140" s="78"/>
      <c r="AB140" s="78"/>
    </row>
    <row r="141" spans="1:28" s="75" customFormat="1" ht="21" customHeight="1">
      <c r="A141" s="37" t="s">
        <v>178</v>
      </c>
      <c r="B141" s="37">
        <v>1</v>
      </c>
      <c r="C141" s="37"/>
      <c r="D141" s="37"/>
      <c r="E141" s="37"/>
      <c r="F141" s="37"/>
      <c r="G141" s="37"/>
      <c r="H141" s="37"/>
      <c r="I141" s="37"/>
      <c r="J141" s="37">
        <v>112</v>
      </c>
      <c r="K141" s="42">
        <v>3121</v>
      </c>
      <c r="L141" s="333" t="s">
        <v>3</v>
      </c>
      <c r="M141" s="422">
        <f>51761/7.5345</f>
        <v>6869.865286349459</v>
      </c>
      <c r="N141" s="422">
        <f>28229.34/7.5345</f>
        <v>3746.67728449134</v>
      </c>
      <c r="O141" s="422">
        <v>28229.34</v>
      </c>
      <c r="P141" s="422">
        <f>28229.34/7.5345</f>
        <v>3746.67728449134</v>
      </c>
      <c r="Q141" s="422">
        <f>2400+1907.6+2343.4+489.84</f>
        <v>7140.84</v>
      </c>
      <c r="R141" s="422">
        <v>10140.84</v>
      </c>
      <c r="S141" s="422">
        <f>2400+1907.6+2343.04+3489.84</f>
        <v>10140.48</v>
      </c>
      <c r="T141" s="437">
        <f t="shared" si="54"/>
        <v>147.6081346187284</v>
      </c>
      <c r="U141" s="437">
        <f t="shared" si="55"/>
        <v>99.99644999822499</v>
      </c>
      <c r="V141" s="78"/>
      <c r="W141" s="78"/>
      <c r="X141" s="78"/>
      <c r="Y141" s="78"/>
      <c r="Z141" s="78"/>
      <c r="AA141" s="78"/>
      <c r="AB141" s="78"/>
    </row>
    <row r="142" spans="1:28" s="75" customFormat="1" ht="20.25" customHeight="1">
      <c r="A142" s="37" t="s">
        <v>566</v>
      </c>
      <c r="B142" s="37">
        <v>1</v>
      </c>
      <c r="C142" s="37"/>
      <c r="D142" s="37"/>
      <c r="E142" s="37"/>
      <c r="F142" s="37"/>
      <c r="G142" s="37"/>
      <c r="H142" s="37"/>
      <c r="I142" s="37"/>
      <c r="J142" s="37">
        <v>112</v>
      </c>
      <c r="K142" s="42">
        <v>3121</v>
      </c>
      <c r="L142" s="88" t="s">
        <v>95</v>
      </c>
      <c r="M142" s="422">
        <v>0</v>
      </c>
      <c r="N142" s="422"/>
      <c r="O142" s="422"/>
      <c r="P142" s="422"/>
      <c r="Q142" s="422"/>
      <c r="R142" s="422"/>
      <c r="S142" s="422"/>
      <c r="T142" s="437" t="e">
        <f t="shared" si="54"/>
        <v>#DIV/0!</v>
      </c>
      <c r="U142" s="437" t="e">
        <f t="shared" si="55"/>
        <v>#DIV/0!</v>
      </c>
      <c r="V142" s="78"/>
      <c r="W142" s="78"/>
      <c r="X142" s="78"/>
      <c r="Y142" s="78"/>
      <c r="Z142" s="78"/>
      <c r="AA142" s="78"/>
      <c r="AB142" s="78"/>
    </row>
    <row r="143" spans="1:28" s="75" customFormat="1" ht="17.25" customHeight="1">
      <c r="A143" s="37" t="s">
        <v>178</v>
      </c>
      <c r="B143" s="37">
        <v>1</v>
      </c>
      <c r="C143" s="37"/>
      <c r="D143" s="37"/>
      <c r="E143" s="37"/>
      <c r="F143" s="37"/>
      <c r="G143" s="37"/>
      <c r="H143" s="37"/>
      <c r="I143" s="37"/>
      <c r="J143" s="37">
        <v>112</v>
      </c>
      <c r="K143" s="42">
        <v>3121</v>
      </c>
      <c r="L143" s="363" t="s">
        <v>145</v>
      </c>
      <c r="M143" s="422">
        <v>0</v>
      </c>
      <c r="N143" s="422"/>
      <c r="O143" s="422"/>
      <c r="P143" s="422"/>
      <c r="Q143" s="422"/>
      <c r="R143" s="422"/>
      <c r="S143" s="422"/>
      <c r="T143" s="437" t="e">
        <f t="shared" si="54"/>
        <v>#DIV/0!</v>
      </c>
      <c r="U143" s="437" t="e">
        <f t="shared" si="55"/>
        <v>#DIV/0!</v>
      </c>
      <c r="V143" s="78"/>
      <c r="W143" s="78"/>
      <c r="X143" s="78"/>
      <c r="Y143" s="78"/>
      <c r="Z143" s="78"/>
      <c r="AA143" s="78"/>
      <c r="AB143" s="78"/>
    </row>
    <row r="144" spans="1:28" s="75" customFormat="1" ht="24" customHeight="1">
      <c r="A144" s="37" t="s">
        <v>665</v>
      </c>
      <c r="B144" s="37">
        <v>1</v>
      </c>
      <c r="C144" s="37"/>
      <c r="D144" s="37"/>
      <c r="E144" s="37"/>
      <c r="F144" s="37"/>
      <c r="G144" s="37"/>
      <c r="H144" s="37"/>
      <c r="I144" s="37"/>
      <c r="J144" s="37">
        <v>112</v>
      </c>
      <c r="K144" s="42">
        <v>3121</v>
      </c>
      <c r="L144" s="321" t="s">
        <v>145</v>
      </c>
      <c r="M144" s="422">
        <v>0</v>
      </c>
      <c r="N144" s="422"/>
      <c r="O144" s="422"/>
      <c r="P144" s="422"/>
      <c r="Q144" s="422"/>
      <c r="R144" s="422"/>
      <c r="S144" s="422"/>
      <c r="T144" s="437" t="e">
        <f t="shared" si="54"/>
        <v>#DIV/0!</v>
      </c>
      <c r="U144" s="437" t="e">
        <f t="shared" si="55"/>
        <v>#DIV/0!</v>
      </c>
      <c r="V144" s="78"/>
      <c r="W144" s="78"/>
      <c r="X144" s="78"/>
      <c r="Y144" s="78"/>
      <c r="Z144" s="78"/>
      <c r="AA144" s="78"/>
      <c r="AB144" s="78"/>
    </row>
    <row r="145" spans="1:28" s="75" customFormat="1" ht="18" customHeight="1">
      <c r="A145" s="37" t="s">
        <v>178</v>
      </c>
      <c r="B145" s="37">
        <v>1</v>
      </c>
      <c r="C145" s="37"/>
      <c r="D145" s="37"/>
      <c r="E145" s="37"/>
      <c r="F145" s="37"/>
      <c r="G145" s="37"/>
      <c r="H145" s="37"/>
      <c r="I145" s="37"/>
      <c r="J145" s="37">
        <v>112</v>
      </c>
      <c r="K145" s="42">
        <v>3121</v>
      </c>
      <c r="L145" s="333" t="s">
        <v>146</v>
      </c>
      <c r="M145" s="422">
        <v>0</v>
      </c>
      <c r="N145" s="422"/>
      <c r="O145" s="422"/>
      <c r="P145" s="422"/>
      <c r="Q145" s="422"/>
      <c r="R145" s="422"/>
      <c r="S145" s="422"/>
      <c r="T145" s="437" t="e">
        <f t="shared" si="54"/>
        <v>#DIV/0!</v>
      </c>
      <c r="U145" s="437" t="e">
        <f t="shared" si="55"/>
        <v>#DIV/0!</v>
      </c>
      <c r="V145" s="78"/>
      <c r="W145" s="78"/>
      <c r="X145" s="78"/>
      <c r="Y145" s="78"/>
      <c r="Z145" s="78"/>
      <c r="AA145" s="78"/>
      <c r="AB145" s="78"/>
    </row>
    <row r="146" spans="1:28" s="75" customFormat="1" ht="24" customHeight="1">
      <c r="A146" s="37" t="s">
        <v>566</v>
      </c>
      <c r="B146" s="37">
        <v>1</v>
      </c>
      <c r="C146" s="37"/>
      <c r="D146" s="37"/>
      <c r="E146" s="37"/>
      <c r="F146" s="37"/>
      <c r="G146" s="37"/>
      <c r="H146" s="37"/>
      <c r="I146" s="37"/>
      <c r="J146" s="37">
        <v>112</v>
      </c>
      <c r="K146" s="42">
        <v>3121</v>
      </c>
      <c r="L146" s="269" t="s">
        <v>146</v>
      </c>
      <c r="M146" s="422">
        <v>0</v>
      </c>
      <c r="N146" s="422"/>
      <c r="O146" s="422"/>
      <c r="P146" s="422"/>
      <c r="Q146" s="422"/>
      <c r="R146" s="422"/>
      <c r="S146" s="422"/>
      <c r="T146" s="437" t="e">
        <f t="shared" si="54"/>
        <v>#DIV/0!</v>
      </c>
      <c r="U146" s="437" t="e">
        <f t="shared" si="55"/>
        <v>#DIV/0!</v>
      </c>
      <c r="V146" s="78"/>
      <c r="W146" s="78"/>
      <c r="X146" s="78"/>
      <c r="Y146" s="78"/>
      <c r="Z146" s="78"/>
      <c r="AA146" s="78"/>
      <c r="AB146" s="78"/>
    </row>
    <row r="147" spans="1:28" s="75" customFormat="1" ht="21" customHeight="1">
      <c r="A147" s="37" t="s">
        <v>178</v>
      </c>
      <c r="B147" s="37">
        <v>1</v>
      </c>
      <c r="C147" s="37"/>
      <c r="D147" s="37"/>
      <c r="E147" s="37"/>
      <c r="F147" s="37"/>
      <c r="G147" s="37"/>
      <c r="H147" s="37"/>
      <c r="I147" s="37"/>
      <c r="J147" s="37">
        <v>112</v>
      </c>
      <c r="K147" s="272">
        <v>313</v>
      </c>
      <c r="L147" s="275" t="s">
        <v>4</v>
      </c>
      <c r="M147" s="422">
        <f aca="true" t="shared" si="58" ref="M147:S147">M149</f>
        <v>20892.56088658836</v>
      </c>
      <c r="N147" s="422">
        <f t="shared" si="58"/>
        <v>20837.613643904704</v>
      </c>
      <c r="O147" s="422">
        <f t="shared" si="58"/>
        <v>20837.613643904704</v>
      </c>
      <c r="P147" s="422">
        <f t="shared" si="58"/>
        <v>20837.613643904704</v>
      </c>
      <c r="Q147" s="422">
        <f t="shared" si="58"/>
        <v>9618.33</v>
      </c>
      <c r="R147" s="422">
        <f t="shared" si="58"/>
        <v>19090.12</v>
      </c>
      <c r="S147" s="422">
        <f t="shared" si="58"/>
        <v>19201.09</v>
      </c>
      <c r="T147" s="437">
        <f t="shared" si="54"/>
        <v>91.90395616999652</v>
      </c>
      <c r="U147" s="437">
        <f t="shared" si="55"/>
        <v>100.58129545545027</v>
      </c>
      <c r="V147" s="78"/>
      <c r="W147" s="78"/>
      <c r="X147" s="78"/>
      <c r="Y147" s="78"/>
      <c r="Z147" s="78"/>
      <c r="AA147" s="78"/>
      <c r="AB147" s="78"/>
    </row>
    <row r="148" spans="1:28" s="75" customFormat="1" ht="0.75" customHeight="1">
      <c r="A148" s="37" t="s">
        <v>178</v>
      </c>
      <c r="B148" s="37">
        <v>1</v>
      </c>
      <c r="C148" s="37"/>
      <c r="D148" s="37"/>
      <c r="E148" s="37"/>
      <c r="F148" s="37"/>
      <c r="G148" s="37"/>
      <c r="H148" s="37"/>
      <c r="I148" s="37"/>
      <c r="J148" s="37">
        <v>112</v>
      </c>
      <c r="K148" s="42">
        <v>3131</v>
      </c>
      <c r="L148" s="333" t="s">
        <v>147</v>
      </c>
      <c r="M148" s="422">
        <v>0</v>
      </c>
      <c r="N148" s="422"/>
      <c r="O148" s="422"/>
      <c r="P148" s="422"/>
      <c r="Q148" s="422"/>
      <c r="R148" s="422"/>
      <c r="S148" s="422"/>
      <c r="T148" s="437" t="e">
        <f t="shared" si="54"/>
        <v>#DIV/0!</v>
      </c>
      <c r="U148" s="437" t="e">
        <f t="shared" si="55"/>
        <v>#DIV/0!</v>
      </c>
      <c r="V148" s="78"/>
      <c r="W148" s="78"/>
      <c r="X148" s="78"/>
      <c r="Y148" s="78"/>
      <c r="Z148" s="78"/>
      <c r="AA148" s="78"/>
      <c r="AB148" s="78"/>
    </row>
    <row r="149" spans="1:28" s="75" customFormat="1" ht="20.25" customHeight="1">
      <c r="A149" s="37" t="s">
        <v>178</v>
      </c>
      <c r="B149" s="37">
        <v>1</v>
      </c>
      <c r="C149" s="37"/>
      <c r="D149" s="37"/>
      <c r="E149" s="37"/>
      <c r="F149" s="37"/>
      <c r="G149" s="37"/>
      <c r="H149" s="37"/>
      <c r="I149" s="37"/>
      <c r="J149" s="37">
        <v>112</v>
      </c>
      <c r="K149" s="42">
        <v>3132</v>
      </c>
      <c r="L149" s="333" t="s">
        <v>141</v>
      </c>
      <c r="M149" s="422">
        <f>157415/7.5345</f>
        <v>20892.56088658836</v>
      </c>
      <c r="N149" s="422">
        <f>157001/7.5345</f>
        <v>20837.613643904704</v>
      </c>
      <c r="O149" s="422">
        <f>157001/7.5345</f>
        <v>20837.613643904704</v>
      </c>
      <c r="P149" s="422">
        <f>157001/7.5345</f>
        <v>20837.613643904704</v>
      </c>
      <c r="Q149" s="422">
        <v>9618.33</v>
      </c>
      <c r="R149" s="422">
        <v>19090.12</v>
      </c>
      <c r="S149" s="422">
        <v>19201.09</v>
      </c>
      <c r="T149" s="437">
        <f t="shared" si="54"/>
        <v>91.90395616999652</v>
      </c>
      <c r="U149" s="437">
        <f t="shared" si="55"/>
        <v>100.58129545545027</v>
      </c>
      <c r="V149" s="78"/>
      <c r="W149" s="78"/>
      <c r="X149" s="78"/>
      <c r="Y149" s="78"/>
      <c r="Z149" s="78"/>
      <c r="AA149" s="78"/>
      <c r="AB149" s="78"/>
    </row>
    <row r="150" spans="1:28" s="75" customFormat="1" ht="24.75" customHeight="1">
      <c r="A150" s="37" t="s">
        <v>178</v>
      </c>
      <c r="B150" s="37">
        <v>1</v>
      </c>
      <c r="C150" s="37"/>
      <c r="D150" s="37"/>
      <c r="E150" s="37"/>
      <c r="F150" s="37"/>
      <c r="G150" s="37"/>
      <c r="H150" s="37"/>
      <c r="I150" s="37"/>
      <c r="J150" s="37">
        <v>112</v>
      </c>
      <c r="K150" s="272">
        <v>32</v>
      </c>
      <c r="L150" s="290" t="s">
        <v>5</v>
      </c>
      <c r="M150" s="422">
        <f aca="true" t="shared" si="59" ref="M150:S150">M151+M156+M161+M184+M187</f>
        <v>135997.47826664013</v>
      </c>
      <c r="N150" s="422">
        <f t="shared" si="59"/>
        <v>127147.52140155285</v>
      </c>
      <c r="O150" s="422">
        <f t="shared" si="59"/>
        <v>940647.4561682926</v>
      </c>
      <c r="P150" s="422">
        <f t="shared" si="59"/>
        <v>127147.52140155285</v>
      </c>
      <c r="Q150" s="422">
        <f t="shared" si="59"/>
        <v>68590.94</v>
      </c>
      <c r="R150" s="422">
        <f t="shared" si="59"/>
        <v>143115.75999999998</v>
      </c>
      <c r="S150" s="422">
        <f t="shared" si="59"/>
        <v>153626.84000000003</v>
      </c>
      <c r="T150" s="437">
        <f t="shared" si="54"/>
        <v>112.96300634251124</v>
      </c>
      <c r="U150" s="437">
        <f t="shared" si="55"/>
        <v>107.34446017685266</v>
      </c>
      <c r="V150" s="78"/>
      <c r="W150" s="78"/>
      <c r="X150" s="78"/>
      <c r="Y150" s="78"/>
      <c r="Z150" s="78"/>
      <c r="AA150" s="78"/>
      <c r="AB150" s="78"/>
    </row>
    <row r="151" spans="1:28" s="75" customFormat="1" ht="19.5" customHeight="1">
      <c r="A151" s="37" t="s">
        <v>178</v>
      </c>
      <c r="B151" s="37">
        <v>1</v>
      </c>
      <c r="C151" s="37"/>
      <c r="D151" s="37"/>
      <c r="E151" s="37"/>
      <c r="F151" s="37"/>
      <c r="G151" s="37"/>
      <c r="H151" s="37"/>
      <c r="I151" s="37"/>
      <c r="J151" s="37">
        <v>112</v>
      </c>
      <c r="K151" s="272">
        <v>321</v>
      </c>
      <c r="L151" s="273" t="s">
        <v>6</v>
      </c>
      <c r="M151" s="422">
        <f aca="true" t="shared" si="60" ref="M151:S151">M152+M153+M154+M155</f>
        <v>9586.435728980025</v>
      </c>
      <c r="N151" s="422">
        <f t="shared" si="60"/>
        <v>11148.715906828587</v>
      </c>
      <c r="O151" s="422">
        <f t="shared" si="60"/>
        <v>84000</v>
      </c>
      <c r="P151" s="422">
        <f t="shared" si="60"/>
        <v>11148.715906828587</v>
      </c>
      <c r="Q151" s="422">
        <f t="shared" si="60"/>
        <v>5277.030000000001</v>
      </c>
      <c r="R151" s="422">
        <f t="shared" si="60"/>
        <v>11262.99</v>
      </c>
      <c r="S151" s="422">
        <f t="shared" si="60"/>
        <v>11347.93</v>
      </c>
      <c r="T151" s="437">
        <f t="shared" si="54"/>
        <v>118.37486132301431</v>
      </c>
      <c r="U151" s="437">
        <f t="shared" si="55"/>
        <v>100.75415142870587</v>
      </c>
      <c r="V151" s="78"/>
      <c r="W151" s="78"/>
      <c r="X151" s="78"/>
      <c r="Y151" s="78"/>
      <c r="Z151" s="78"/>
      <c r="AA151" s="78"/>
      <c r="AB151" s="78"/>
    </row>
    <row r="152" spans="1:28" s="75" customFormat="1" ht="15.75" customHeight="1">
      <c r="A152" s="37" t="s">
        <v>178</v>
      </c>
      <c r="B152" s="37">
        <v>1</v>
      </c>
      <c r="C152" s="37"/>
      <c r="D152" s="37"/>
      <c r="E152" s="37"/>
      <c r="F152" s="37"/>
      <c r="G152" s="37"/>
      <c r="H152" s="37"/>
      <c r="I152" s="37"/>
      <c r="J152" s="37">
        <v>112</v>
      </c>
      <c r="K152" s="42">
        <v>3211</v>
      </c>
      <c r="L152" s="88" t="s">
        <v>59</v>
      </c>
      <c r="M152" s="422">
        <f>9207/7.5345</f>
        <v>1221.978897073462</v>
      </c>
      <c r="N152" s="422">
        <f>10000/7.5345</f>
        <v>1327.2280841462605</v>
      </c>
      <c r="O152" s="422">
        <v>10000</v>
      </c>
      <c r="P152" s="422">
        <f>10000/7.5345</f>
        <v>1327.2280841462605</v>
      </c>
      <c r="Q152" s="422">
        <f>276.27+361.92+611.18</f>
        <v>1249.37</v>
      </c>
      <c r="R152" s="422">
        <v>1739.75</v>
      </c>
      <c r="S152" s="422">
        <f>359.37+559.5+988.38</f>
        <v>1907.25</v>
      </c>
      <c r="T152" s="437">
        <f t="shared" si="54"/>
        <v>156.07880009775172</v>
      </c>
      <c r="U152" s="437">
        <f t="shared" si="55"/>
        <v>109.62782008909326</v>
      </c>
      <c r="V152" s="78"/>
      <c r="W152" s="78"/>
      <c r="X152" s="78"/>
      <c r="Y152" s="78"/>
      <c r="Z152" s="78"/>
      <c r="AA152" s="78"/>
      <c r="AB152" s="78"/>
    </row>
    <row r="153" spans="1:28" s="75" customFormat="1" ht="16.5" customHeight="1">
      <c r="A153" s="37" t="s">
        <v>178</v>
      </c>
      <c r="B153" s="37">
        <v>1</v>
      </c>
      <c r="C153" s="37"/>
      <c r="D153" s="37"/>
      <c r="E153" s="37"/>
      <c r="F153" s="37"/>
      <c r="G153" s="37"/>
      <c r="H153" s="37"/>
      <c r="I153" s="37"/>
      <c r="J153" s="37">
        <v>112</v>
      </c>
      <c r="K153" s="42">
        <v>3212</v>
      </c>
      <c r="L153" s="88" t="s">
        <v>112</v>
      </c>
      <c r="M153" s="422">
        <f>58705/7.5345</f>
        <v>7791.492467980622</v>
      </c>
      <c r="N153" s="422">
        <f>62000/7.5345</f>
        <v>8228.814121706815</v>
      </c>
      <c r="O153" s="422">
        <v>62000</v>
      </c>
      <c r="P153" s="422">
        <f>62000/7.5345</f>
        <v>8228.814121706815</v>
      </c>
      <c r="Q153" s="422">
        <v>3716.06</v>
      </c>
      <c r="R153" s="422">
        <v>8628.84</v>
      </c>
      <c r="S153" s="422">
        <v>8599.08</v>
      </c>
      <c r="T153" s="437">
        <f t="shared" si="54"/>
        <v>110.36499149987225</v>
      </c>
      <c r="U153" s="437">
        <f t="shared" si="55"/>
        <v>99.65511007273284</v>
      </c>
      <c r="V153" s="78"/>
      <c r="W153" s="78"/>
      <c r="X153" s="78"/>
      <c r="Y153" s="78"/>
      <c r="Z153" s="78"/>
      <c r="AA153" s="78"/>
      <c r="AB153" s="78"/>
    </row>
    <row r="154" spans="1:28" s="75" customFormat="1" ht="26.25" customHeight="1">
      <c r="A154" s="37" t="s">
        <v>178</v>
      </c>
      <c r="B154" s="37">
        <v>1</v>
      </c>
      <c r="C154" s="37"/>
      <c r="D154" s="37"/>
      <c r="E154" s="37"/>
      <c r="F154" s="37"/>
      <c r="G154" s="37"/>
      <c r="H154" s="37"/>
      <c r="I154" s="37"/>
      <c r="J154" s="37">
        <v>112</v>
      </c>
      <c r="K154" s="42">
        <v>3213</v>
      </c>
      <c r="L154" s="88" t="s">
        <v>61</v>
      </c>
      <c r="M154" s="422">
        <v>0</v>
      </c>
      <c r="N154" s="422">
        <f>5000/7.5345</f>
        <v>663.6140420731302</v>
      </c>
      <c r="O154" s="422">
        <v>5000</v>
      </c>
      <c r="P154" s="422">
        <f>5000/7.5345</f>
        <v>663.6140420731302</v>
      </c>
      <c r="Q154" s="422">
        <v>0</v>
      </c>
      <c r="R154" s="422">
        <v>400</v>
      </c>
      <c r="S154" s="422"/>
      <c r="T154" s="437" t="e">
        <f t="shared" si="54"/>
        <v>#DIV/0!</v>
      </c>
      <c r="U154" s="437">
        <f t="shared" si="55"/>
        <v>0</v>
      </c>
      <c r="V154" s="78"/>
      <c r="W154" s="78"/>
      <c r="X154" s="78"/>
      <c r="Y154" s="78"/>
      <c r="Z154" s="78"/>
      <c r="AA154" s="78"/>
      <c r="AB154" s="78"/>
    </row>
    <row r="155" spans="1:28" s="75" customFormat="1" ht="15" customHeight="1">
      <c r="A155" s="37" t="s">
        <v>178</v>
      </c>
      <c r="B155" s="37">
        <v>1</v>
      </c>
      <c r="C155" s="37"/>
      <c r="D155" s="37"/>
      <c r="E155" s="37"/>
      <c r="F155" s="37"/>
      <c r="G155" s="37"/>
      <c r="H155" s="37"/>
      <c r="I155" s="37"/>
      <c r="J155" s="37">
        <v>112</v>
      </c>
      <c r="K155" s="42">
        <v>3214</v>
      </c>
      <c r="L155" s="88" t="s">
        <v>96</v>
      </c>
      <c r="M155" s="422">
        <f>4317/7.5345</f>
        <v>572.9643639259407</v>
      </c>
      <c r="N155" s="422">
        <f>7000/7.5345</f>
        <v>929.0596589023824</v>
      </c>
      <c r="O155" s="422">
        <v>7000</v>
      </c>
      <c r="P155" s="422">
        <f>7000/7.5345</f>
        <v>929.0596589023824</v>
      </c>
      <c r="Q155" s="422">
        <v>311.6</v>
      </c>
      <c r="R155" s="422">
        <f>394.4+100</f>
        <v>494.4</v>
      </c>
      <c r="S155" s="422">
        <v>841.6</v>
      </c>
      <c r="T155" s="437">
        <f t="shared" si="54"/>
        <v>146.8852258512856</v>
      </c>
      <c r="U155" s="437">
        <f t="shared" si="55"/>
        <v>170.2265372168285</v>
      </c>
      <c r="V155" s="78"/>
      <c r="W155" s="78"/>
      <c r="X155" s="78"/>
      <c r="Y155" s="78"/>
      <c r="Z155" s="78"/>
      <c r="AA155" s="78"/>
      <c r="AB155" s="78"/>
    </row>
    <row r="156" spans="1:28" s="75" customFormat="1" ht="26.25" customHeight="1">
      <c r="A156" s="37" t="s">
        <v>178</v>
      </c>
      <c r="B156" s="37">
        <v>1</v>
      </c>
      <c r="C156" s="37"/>
      <c r="D156" s="37"/>
      <c r="E156" s="37"/>
      <c r="F156" s="37"/>
      <c r="G156" s="37"/>
      <c r="H156" s="37"/>
      <c r="I156" s="37"/>
      <c r="J156" s="37">
        <v>112</v>
      </c>
      <c r="K156" s="272">
        <v>322</v>
      </c>
      <c r="L156" s="273" t="s">
        <v>26</v>
      </c>
      <c r="M156" s="422">
        <f aca="true" t="shared" si="61" ref="M156:S156">M157+M158+M159+M160</f>
        <v>29583.5158271949</v>
      </c>
      <c r="N156" s="422">
        <f t="shared" si="61"/>
        <v>33180.70210365651</v>
      </c>
      <c r="O156" s="422">
        <f t="shared" si="61"/>
        <v>250000</v>
      </c>
      <c r="P156" s="422">
        <f t="shared" si="61"/>
        <v>33180.70210365651</v>
      </c>
      <c r="Q156" s="422">
        <f t="shared" si="61"/>
        <v>19928.370000000003</v>
      </c>
      <c r="R156" s="422">
        <f t="shared" si="61"/>
        <v>29056.019999999997</v>
      </c>
      <c r="S156" s="422">
        <f t="shared" si="61"/>
        <v>37855.270000000004</v>
      </c>
      <c r="T156" s="437">
        <f t="shared" si="54"/>
        <v>127.96068669161096</v>
      </c>
      <c r="U156" s="437">
        <f t="shared" si="55"/>
        <v>130.28374154478146</v>
      </c>
      <c r="V156" s="78"/>
      <c r="W156" s="78"/>
      <c r="X156" s="78"/>
      <c r="Y156" s="78"/>
      <c r="Z156" s="78"/>
      <c r="AA156" s="78"/>
      <c r="AB156" s="78"/>
    </row>
    <row r="157" spans="1:28" s="75" customFormat="1" ht="21" customHeight="1">
      <c r="A157" s="37" t="s">
        <v>178</v>
      </c>
      <c r="B157" s="37">
        <v>1</v>
      </c>
      <c r="C157" s="37"/>
      <c r="D157" s="37"/>
      <c r="E157" s="37"/>
      <c r="F157" s="37"/>
      <c r="G157" s="37"/>
      <c r="H157" s="37"/>
      <c r="I157" s="37"/>
      <c r="J157" s="37">
        <v>112</v>
      </c>
      <c r="K157" s="42">
        <v>3221</v>
      </c>
      <c r="L157" s="88" t="s">
        <v>62</v>
      </c>
      <c r="M157" s="422">
        <f>79444/7.5345</f>
        <v>10544.030791691552</v>
      </c>
      <c r="N157" s="422">
        <f>70000/7.5345</f>
        <v>9290.596589023824</v>
      </c>
      <c r="O157" s="422">
        <v>70000</v>
      </c>
      <c r="P157" s="422">
        <f>70000/7.5345</f>
        <v>9290.596589023824</v>
      </c>
      <c r="Q157" s="422">
        <f>4796.43+340+376.94+362.63</f>
        <v>5876</v>
      </c>
      <c r="R157" s="422">
        <f>6363.33+420+432.6+751.55+428.56+319.25+432.31</f>
        <v>9147.6</v>
      </c>
      <c r="S157" s="422">
        <f>7912.27+802.25+1022.28+828.37+166.64+14.48</f>
        <v>10746.29</v>
      </c>
      <c r="T157" s="437">
        <f t="shared" si="54"/>
        <v>101.91823423417755</v>
      </c>
      <c r="U157" s="437">
        <f t="shared" si="55"/>
        <v>117.4766058856968</v>
      </c>
      <c r="V157" s="78"/>
      <c r="W157" s="78"/>
      <c r="X157" s="78"/>
      <c r="Y157" s="78"/>
      <c r="Z157" s="78"/>
      <c r="AA157" s="78"/>
      <c r="AB157" s="78"/>
    </row>
    <row r="158" spans="1:28" s="75" customFormat="1" ht="19.5" customHeight="1">
      <c r="A158" s="37" t="s">
        <v>178</v>
      </c>
      <c r="B158" s="37">
        <v>1</v>
      </c>
      <c r="C158" s="37"/>
      <c r="D158" s="37"/>
      <c r="E158" s="37"/>
      <c r="F158" s="37"/>
      <c r="G158" s="37"/>
      <c r="H158" s="37"/>
      <c r="I158" s="37"/>
      <c r="J158" s="37">
        <v>112</v>
      </c>
      <c r="K158" s="42">
        <v>3223</v>
      </c>
      <c r="L158" s="87" t="s">
        <v>666</v>
      </c>
      <c r="M158" s="422">
        <f>113810/7.5345</f>
        <v>15105.18282566859</v>
      </c>
      <c r="N158" s="422">
        <f>150000/7.5345</f>
        <v>19908.421262193908</v>
      </c>
      <c r="O158" s="422">
        <v>150000</v>
      </c>
      <c r="P158" s="422">
        <f>150000/7.5345</f>
        <v>19908.421262193908</v>
      </c>
      <c r="Q158" s="422">
        <f>58470.41-47004.19+2586.15</f>
        <v>14052.37</v>
      </c>
      <c r="R158" s="422">
        <v>19908.42</v>
      </c>
      <c r="S158" s="422">
        <f>21599.25+5509.73</f>
        <v>27108.98</v>
      </c>
      <c r="T158" s="437">
        <f t="shared" si="54"/>
        <v>179.4680694227221</v>
      </c>
      <c r="U158" s="437">
        <f t="shared" si="55"/>
        <v>136.16841517307753</v>
      </c>
      <c r="V158" s="78"/>
      <c r="W158" s="78"/>
      <c r="X158" s="78"/>
      <c r="Y158" s="78"/>
      <c r="Z158" s="78"/>
      <c r="AA158" s="78"/>
      <c r="AB158" s="78"/>
    </row>
    <row r="159" spans="1:28" s="75" customFormat="1" ht="24.75" customHeight="1">
      <c r="A159" s="37" t="s">
        <v>178</v>
      </c>
      <c r="B159" s="37">
        <v>1</v>
      </c>
      <c r="C159" s="37"/>
      <c r="D159" s="37"/>
      <c r="E159" s="37"/>
      <c r="F159" s="37"/>
      <c r="G159" s="37"/>
      <c r="H159" s="37"/>
      <c r="I159" s="37"/>
      <c r="J159" s="37">
        <v>112</v>
      </c>
      <c r="K159" s="42">
        <v>3225</v>
      </c>
      <c r="L159" s="88" t="s">
        <v>64</v>
      </c>
      <c r="M159" s="422">
        <f>29643/7.5345</f>
        <v>3934.30220983476</v>
      </c>
      <c r="N159" s="422">
        <f>30000/7.5345</f>
        <v>3981.684252438781</v>
      </c>
      <c r="O159" s="422">
        <v>30000</v>
      </c>
      <c r="P159" s="422">
        <f>30000/7.5345</f>
        <v>3981.684252438781</v>
      </c>
      <c r="Q159" s="422">
        <v>0</v>
      </c>
      <c r="R159" s="422"/>
      <c r="S159" s="422"/>
      <c r="T159" s="437">
        <f t="shared" si="54"/>
        <v>0</v>
      </c>
      <c r="U159" s="437" t="e">
        <f t="shared" si="55"/>
        <v>#DIV/0!</v>
      </c>
      <c r="V159" s="78"/>
      <c r="W159" s="78"/>
      <c r="X159" s="78"/>
      <c r="Y159" s="78"/>
      <c r="Z159" s="78"/>
      <c r="AA159" s="78"/>
      <c r="AB159" s="78"/>
    </row>
    <row r="160" spans="1:28" s="75" customFormat="1" ht="28.5" customHeight="1">
      <c r="A160" s="37" t="s">
        <v>178</v>
      </c>
      <c r="B160" s="37">
        <v>1</v>
      </c>
      <c r="C160" s="37"/>
      <c r="D160" s="37"/>
      <c r="E160" s="37"/>
      <c r="F160" s="37"/>
      <c r="G160" s="37"/>
      <c r="H160" s="37"/>
      <c r="I160" s="37"/>
      <c r="J160" s="37">
        <v>112</v>
      </c>
      <c r="K160" s="42">
        <v>3227</v>
      </c>
      <c r="L160" s="333" t="s">
        <v>90</v>
      </c>
      <c r="M160" s="422">
        <v>0</v>
      </c>
      <c r="N160" s="422">
        <v>0</v>
      </c>
      <c r="O160" s="422">
        <v>0</v>
      </c>
      <c r="P160" s="422">
        <v>0</v>
      </c>
      <c r="Q160" s="422">
        <v>0</v>
      </c>
      <c r="R160" s="422"/>
      <c r="S160" s="422"/>
      <c r="T160" s="437" t="e">
        <f t="shared" si="54"/>
        <v>#DIV/0!</v>
      </c>
      <c r="U160" s="437" t="e">
        <f t="shared" si="55"/>
        <v>#DIV/0!</v>
      </c>
      <c r="V160" s="78"/>
      <c r="W160" s="78"/>
      <c r="X160" s="78"/>
      <c r="Y160" s="78"/>
      <c r="Z160" s="78"/>
      <c r="AA160" s="78"/>
      <c r="AB160" s="78"/>
    </row>
    <row r="161" spans="1:28" s="75" customFormat="1" ht="18.75" customHeight="1">
      <c r="A161" s="37" t="s">
        <v>178</v>
      </c>
      <c r="B161" s="37">
        <v>1</v>
      </c>
      <c r="C161" s="37"/>
      <c r="D161" s="37"/>
      <c r="E161" s="37"/>
      <c r="F161" s="37"/>
      <c r="G161" s="37"/>
      <c r="H161" s="37"/>
      <c r="I161" s="37"/>
      <c r="J161" s="37">
        <v>112</v>
      </c>
      <c r="K161" s="272">
        <v>323</v>
      </c>
      <c r="L161" s="273" t="s">
        <v>7</v>
      </c>
      <c r="M161" s="422">
        <f aca="true" t="shared" si="62" ref="M161:S161">SUM(M162:M183)</f>
        <v>87704.29358285222</v>
      </c>
      <c r="N161" s="422">
        <f t="shared" si="62"/>
        <v>74450.85938018448</v>
      </c>
      <c r="O161" s="422">
        <f t="shared" si="62"/>
        <v>543604.4561682926</v>
      </c>
      <c r="P161" s="422">
        <f t="shared" si="62"/>
        <v>74450.85938018448</v>
      </c>
      <c r="Q161" s="422">
        <f t="shared" si="62"/>
        <v>39355.55</v>
      </c>
      <c r="R161" s="422">
        <f t="shared" si="62"/>
        <v>86684.13999999998</v>
      </c>
      <c r="S161" s="422">
        <f t="shared" si="62"/>
        <v>89241.26000000001</v>
      </c>
      <c r="T161" s="437">
        <f t="shared" si="54"/>
        <v>101.75244147619279</v>
      </c>
      <c r="U161" s="437">
        <f t="shared" si="55"/>
        <v>102.94992832598908</v>
      </c>
      <c r="V161" s="78"/>
      <c r="W161" s="78"/>
      <c r="X161" s="78"/>
      <c r="Y161" s="78"/>
      <c r="Z161" s="78"/>
      <c r="AA161" s="78"/>
      <c r="AB161" s="78"/>
    </row>
    <row r="162" spans="1:28" s="75" customFormat="1" ht="16.5" customHeight="1">
      <c r="A162" s="37" t="s">
        <v>178</v>
      </c>
      <c r="B162" s="37">
        <v>1</v>
      </c>
      <c r="C162" s="37"/>
      <c r="D162" s="37"/>
      <c r="E162" s="37"/>
      <c r="F162" s="37"/>
      <c r="G162" s="37"/>
      <c r="H162" s="37"/>
      <c r="I162" s="37"/>
      <c r="J162" s="37">
        <v>112</v>
      </c>
      <c r="K162" s="42">
        <v>3231</v>
      </c>
      <c r="L162" s="88" t="s">
        <v>65</v>
      </c>
      <c r="M162" s="422">
        <f>76238/7.5345</f>
        <v>10118.521467914261</v>
      </c>
      <c r="N162" s="422">
        <f>75000/7.5345</f>
        <v>9954.210631096954</v>
      </c>
      <c r="O162" s="422">
        <v>75000</v>
      </c>
      <c r="P162" s="422">
        <f>75000/7.5345</f>
        <v>9954.210631096954</v>
      </c>
      <c r="Q162" s="422">
        <f>3844.41+929.33</f>
        <v>4773.74</v>
      </c>
      <c r="R162" s="422">
        <f>6972.04+1169.65+2000</f>
        <v>10141.69</v>
      </c>
      <c r="S162" s="422">
        <f>9945.17+1403.87</f>
        <v>11349.04</v>
      </c>
      <c r="T162" s="437">
        <f t="shared" si="54"/>
        <v>112.16105076208716</v>
      </c>
      <c r="U162" s="437">
        <f t="shared" si="55"/>
        <v>111.90482059696166</v>
      </c>
      <c r="V162" s="78"/>
      <c r="W162" s="78"/>
      <c r="X162" s="78"/>
      <c r="Y162" s="78"/>
      <c r="Z162" s="78"/>
      <c r="AA162" s="78"/>
      <c r="AB162" s="78"/>
    </row>
    <row r="163" spans="1:28" s="75" customFormat="1" ht="15.75" customHeight="1">
      <c r="A163" s="37" t="s">
        <v>178</v>
      </c>
      <c r="B163" s="37">
        <v>1</v>
      </c>
      <c r="C163" s="37"/>
      <c r="D163" s="37"/>
      <c r="E163" s="37"/>
      <c r="F163" s="37"/>
      <c r="G163" s="37"/>
      <c r="H163" s="37"/>
      <c r="I163" s="37"/>
      <c r="J163" s="37">
        <v>112</v>
      </c>
      <c r="K163" s="42">
        <v>3232</v>
      </c>
      <c r="L163" s="88" t="s">
        <v>66</v>
      </c>
      <c r="M163" s="422">
        <f>10583/7.5345</f>
        <v>1404.6054814519875</v>
      </c>
      <c r="N163" s="422">
        <f>5000/7.5345</f>
        <v>663.6140420731302</v>
      </c>
      <c r="O163" s="422">
        <v>5000</v>
      </c>
      <c r="P163" s="422">
        <f>5000/7.5345</f>
        <v>663.6140420731302</v>
      </c>
      <c r="Q163" s="422">
        <v>230.88</v>
      </c>
      <c r="R163" s="422">
        <v>974.63</v>
      </c>
      <c r="S163" s="422">
        <v>1640.98</v>
      </c>
      <c r="T163" s="437">
        <f t="shared" si="54"/>
        <v>116.82853453652085</v>
      </c>
      <c r="U163" s="437">
        <f t="shared" si="55"/>
        <v>168.36953510562984</v>
      </c>
      <c r="V163" s="78"/>
      <c r="W163" s="78"/>
      <c r="X163" s="78"/>
      <c r="Y163" s="78"/>
      <c r="Z163" s="78"/>
      <c r="AA163" s="78"/>
      <c r="AB163" s="78"/>
    </row>
    <row r="164" spans="1:28" s="75" customFormat="1" ht="16.5" customHeight="1">
      <c r="A164" s="37" t="s">
        <v>178</v>
      </c>
      <c r="B164" s="37">
        <v>1</v>
      </c>
      <c r="C164" s="37"/>
      <c r="D164" s="37"/>
      <c r="E164" s="37"/>
      <c r="F164" s="37"/>
      <c r="G164" s="37"/>
      <c r="H164" s="37"/>
      <c r="I164" s="37"/>
      <c r="J164" s="37">
        <v>112</v>
      </c>
      <c r="K164" s="42">
        <v>3232</v>
      </c>
      <c r="L164" s="88" t="s">
        <v>88</v>
      </c>
      <c r="M164" s="422">
        <f>82116/7.5345</f>
        <v>10898.666135775433</v>
      </c>
      <c r="N164" s="422">
        <f>80000/7.5345</f>
        <v>10617.824673170084</v>
      </c>
      <c r="O164" s="422">
        <v>80000</v>
      </c>
      <c r="P164" s="422">
        <f>80000/7.5345</f>
        <v>10617.824673170084</v>
      </c>
      <c r="Q164" s="422">
        <v>4170.23</v>
      </c>
      <c r="R164" s="422">
        <f>6628.46+3000</f>
        <v>9628.46</v>
      </c>
      <c r="S164" s="422">
        <v>8789.17</v>
      </c>
      <c r="T164" s="437">
        <f t="shared" si="54"/>
        <v>80.64445584904281</v>
      </c>
      <c r="U164" s="437">
        <f t="shared" si="55"/>
        <v>91.28323740245065</v>
      </c>
      <c r="V164" s="78"/>
      <c r="W164" s="78"/>
      <c r="X164" s="78"/>
      <c r="Y164" s="78"/>
      <c r="Z164" s="78"/>
      <c r="AA164" s="78"/>
      <c r="AB164" s="78"/>
    </row>
    <row r="165" spans="1:28" s="75" customFormat="1" ht="19.5" customHeight="1">
      <c r="A165" s="37" t="s">
        <v>178</v>
      </c>
      <c r="B165" s="37">
        <v>1</v>
      </c>
      <c r="C165" s="37"/>
      <c r="D165" s="37"/>
      <c r="E165" s="37"/>
      <c r="F165" s="37"/>
      <c r="G165" s="37"/>
      <c r="H165" s="37"/>
      <c r="I165" s="37"/>
      <c r="J165" s="37">
        <v>112</v>
      </c>
      <c r="K165" s="42">
        <v>3232</v>
      </c>
      <c r="L165" s="88" t="s">
        <v>124</v>
      </c>
      <c r="M165" s="422">
        <f>38471/7.5345</f>
        <v>5105.979162519078</v>
      </c>
      <c r="N165" s="422">
        <f>40000/7.5345</f>
        <v>5308.912336585042</v>
      </c>
      <c r="O165" s="422">
        <v>40000</v>
      </c>
      <c r="P165" s="422">
        <f>40000/7.5345</f>
        <v>5308.912336585042</v>
      </c>
      <c r="Q165" s="422">
        <v>0</v>
      </c>
      <c r="R165" s="422">
        <v>1000</v>
      </c>
      <c r="S165" s="422"/>
      <c r="T165" s="437">
        <f t="shared" si="54"/>
        <v>0</v>
      </c>
      <c r="U165" s="437">
        <f t="shared" si="55"/>
        <v>0</v>
      </c>
      <c r="V165" s="78"/>
      <c r="W165" s="78"/>
      <c r="X165" s="78"/>
      <c r="Y165" s="78"/>
      <c r="Z165" s="78"/>
      <c r="AA165" s="78"/>
      <c r="AB165" s="78"/>
    </row>
    <row r="166" spans="1:28" s="75" customFormat="1" ht="24" customHeight="1">
      <c r="A166" s="37" t="s">
        <v>178</v>
      </c>
      <c r="B166" s="37">
        <v>1</v>
      </c>
      <c r="C166" s="37"/>
      <c r="D166" s="37"/>
      <c r="E166" s="37"/>
      <c r="F166" s="37"/>
      <c r="G166" s="37"/>
      <c r="H166" s="37"/>
      <c r="I166" s="37"/>
      <c r="J166" s="37">
        <v>112</v>
      </c>
      <c r="K166" s="42">
        <v>3233</v>
      </c>
      <c r="L166" s="88" t="s">
        <v>56</v>
      </c>
      <c r="M166" s="422">
        <f>36573/7.5345</f>
        <v>4854.071272148119</v>
      </c>
      <c r="N166" s="422">
        <f>30000/7.5345</f>
        <v>3981.684252438781</v>
      </c>
      <c r="O166" s="422">
        <v>30000</v>
      </c>
      <c r="P166" s="422">
        <f>30000/7.5345</f>
        <v>3981.684252438781</v>
      </c>
      <c r="Q166" s="422">
        <v>1244.98</v>
      </c>
      <c r="R166" s="422">
        <f>1276.84+300</f>
        <v>1576.84</v>
      </c>
      <c r="S166" s="422">
        <v>2063.7</v>
      </c>
      <c r="T166" s="437">
        <f t="shared" si="54"/>
        <v>42.51482692149946</v>
      </c>
      <c r="U166" s="437">
        <f t="shared" si="55"/>
        <v>130.87567540143579</v>
      </c>
      <c r="V166" s="78"/>
      <c r="W166" s="78"/>
      <c r="X166" s="78"/>
      <c r="Y166" s="78"/>
      <c r="Z166" s="78"/>
      <c r="AA166" s="78"/>
      <c r="AB166" s="78"/>
    </row>
    <row r="167" spans="1:28" s="75" customFormat="1" ht="24" customHeight="1">
      <c r="A167" s="37" t="s">
        <v>178</v>
      </c>
      <c r="B167" s="37">
        <v>1</v>
      </c>
      <c r="C167" s="37"/>
      <c r="D167" s="37"/>
      <c r="E167" s="37"/>
      <c r="F167" s="37"/>
      <c r="G167" s="37"/>
      <c r="H167" s="37"/>
      <c r="I167" s="37"/>
      <c r="J167" s="37">
        <v>112</v>
      </c>
      <c r="K167" s="42">
        <v>3234</v>
      </c>
      <c r="L167" s="333" t="s">
        <v>67</v>
      </c>
      <c r="M167" s="422">
        <f>146337/7.5345</f>
        <v>19422.25761497113</v>
      </c>
      <c r="N167" s="422">
        <f>100000/7.5345</f>
        <v>13272.280841462605</v>
      </c>
      <c r="O167" s="422">
        <v>100000</v>
      </c>
      <c r="P167" s="422">
        <f>100000/7.5345</f>
        <v>13272.280841462605</v>
      </c>
      <c r="Q167" s="422">
        <v>9850.92</v>
      </c>
      <c r="R167" s="422">
        <v>17000</v>
      </c>
      <c r="S167" s="422">
        <v>16173.86</v>
      </c>
      <c r="T167" s="437">
        <f t="shared" si="54"/>
        <v>83.27487113306957</v>
      </c>
      <c r="U167" s="437">
        <f t="shared" si="55"/>
        <v>95.14035294117647</v>
      </c>
      <c r="V167" s="78"/>
      <c r="W167" s="78"/>
      <c r="X167" s="78"/>
      <c r="Y167" s="78"/>
      <c r="Z167" s="78"/>
      <c r="AA167" s="78"/>
      <c r="AB167" s="78"/>
    </row>
    <row r="168" spans="1:28" s="75" customFormat="1" ht="0.75" customHeight="1">
      <c r="A168" s="37" t="s">
        <v>178</v>
      </c>
      <c r="B168" s="37">
        <v>1</v>
      </c>
      <c r="C168" s="37"/>
      <c r="D168" s="37"/>
      <c r="E168" s="37"/>
      <c r="F168" s="37"/>
      <c r="G168" s="37"/>
      <c r="H168" s="37"/>
      <c r="I168" s="37"/>
      <c r="J168" s="37">
        <v>112</v>
      </c>
      <c r="K168" s="42">
        <v>3234</v>
      </c>
      <c r="L168" s="87" t="s">
        <v>114</v>
      </c>
      <c r="M168" s="422"/>
      <c r="N168" s="422"/>
      <c r="O168" s="422"/>
      <c r="P168" s="422"/>
      <c r="Q168" s="422"/>
      <c r="R168" s="422"/>
      <c r="S168" s="422"/>
      <c r="T168" s="437" t="e">
        <f t="shared" si="54"/>
        <v>#DIV/0!</v>
      </c>
      <c r="U168" s="437" t="e">
        <f t="shared" si="55"/>
        <v>#DIV/0!</v>
      </c>
      <c r="V168" s="78"/>
      <c r="W168" s="78"/>
      <c r="X168" s="78"/>
      <c r="Y168" s="78"/>
      <c r="Z168" s="78"/>
      <c r="AA168" s="78"/>
      <c r="AB168" s="78"/>
    </row>
    <row r="169" spans="1:28" s="75" customFormat="1" ht="21" customHeight="1" hidden="1">
      <c r="A169" s="37" t="s">
        <v>178</v>
      </c>
      <c r="B169" s="37">
        <v>1</v>
      </c>
      <c r="C169" s="37"/>
      <c r="D169" s="37"/>
      <c r="E169" s="37"/>
      <c r="F169" s="37"/>
      <c r="G169" s="37"/>
      <c r="H169" s="37"/>
      <c r="I169" s="37"/>
      <c r="J169" s="37">
        <v>112</v>
      </c>
      <c r="K169" s="42">
        <v>3234</v>
      </c>
      <c r="L169" s="87" t="s">
        <v>115</v>
      </c>
      <c r="M169" s="422"/>
      <c r="N169" s="422"/>
      <c r="O169" s="422"/>
      <c r="P169" s="422"/>
      <c r="Q169" s="422"/>
      <c r="R169" s="422"/>
      <c r="S169" s="422"/>
      <c r="T169" s="437" t="e">
        <f t="shared" si="54"/>
        <v>#DIV/0!</v>
      </c>
      <c r="U169" s="437" t="e">
        <f t="shared" si="55"/>
        <v>#DIV/0!</v>
      </c>
      <c r="V169" s="78"/>
      <c r="W169" s="78"/>
      <c r="X169" s="78"/>
      <c r="Y169" s="78"/>
      <c r="Z169" s="78"/>
      <c r="AA169" s="78"/>
      <c r="AB169" s="78"/>
    </row>
    <row r="170" spans="1:28" s="75" customFormat="1" ht="21" customHeight="1">
      <c r="A170" s="37" t="s">
        <v>178</v>
      </c>
      <c r="B170" s="37">
        <v>1</v>
      </c>
      <c r="C170" s="37"/>
      <c r="D170" s="37"/>
      <c r="E170" s="37"/>
      <c r="F170" s="37"/>
      <c r="G170" s="37"/>
      <c r="H170" s="37"/>
      <c r="I170" s="37"/>
      <c r="J170" s="37">
        <v>112</v>
      </c>
      <c r="K170" s="42">
        <v>3236</v>
      </c>
      <c r="L170" s="87" t="s">
        <v>97</v>
      </c>
      <c r="M170" s="422">
        <v>0</v>
      </c>
      <c r="N170" s="422">
        <v>0</v>
      </c>
      <c r="O170" s="422"/>
      <c r="P170" s="422"/>
      <c r="Q170" s="422"/>
      <c r="R170" s="422"/>
      <c r="S170" s="422"/>
      <c r="T170" s="437" t="e">
        <f t="shared" si="54"/>
        <v>#DIV/0!</v>
      </c>
      <c r="U170" s="437" t="e">
        <f t="shared" si="55"/>
        <v>#DIV/0!</v>
      </c>
      <c r="V170" s="78"/>
      <c r="W170" s="78"/>
      <c r="X170" s="78"/>
      <c r="Y170" s="78"/>
      <c r="Z170" s="78"/>
      <c r="AA170" s="78"/>
      <c r="AB170" s="78"/>
    </row>
    <row r="171" spans="1:28" s="75" customFormat="1" ht="23.25" customHeight="1">
      <c r="A171" s="37" t="s">
        <v>178</v>
      </c>
      <c r="B171" s="37">
        <v>1</v>
      </c>
      <c r="C171" s="37"/>
      <c r="D171" s="37"/>
      <c r="E171" s="37"/>
      <c r="F171" s="37"/>
      <c r="G171" s="37"/>
      <c r="H171" s="37"/>
      <c r="I171" s="37"/>
      <c r="J171" s="37">
        <v>112</v>
      </c>
      <c r="K171" s="42">
        <v>3236</v>
      </c>
      <c r="L171" s="87" t="s">
        <v>98</v>
      </c>
      <c r="M171" s="422">
        <f>3950/7.5345</f>
        <v>524.2550932377728</v>
      </c>
      <c r="N171" s="422">
        <f>3950/7.5345</f>
        <v>524.2550932377728</v>
      </c>
      <c r="O171" s="422">
        <v>3950</v>
      </c>
      <c r="P171" s="422">
        <f>3950/7.5345</f>
        <v>524.2550932377728</v>
      </c>
      <c r="Q171" s="422">
        <v>0</v>
      </c>
      <c r="R171" s="422">
        <v>1588.71</v>
      </c>
      <c r="S171" s="422">
        <v>1585.71</v>
      </c>
      <c r="T171" s="437">
        <f t="shared" si="54"/>
        <v>302.4691644303798</v>
      </c>
      <c r="U171" s="437">
        <f t="shared" si="55"/>
        <v>99.81116755103197</v>
      </c>
      <c r="V171" s="78"/>
      <c r="W171" s="78"/>
      <c r="X171" s="78"/>
      <c r="Y171" s="78"/>
      <c r="Z171" s="78"/>
      <c r="AA171" s="78"/>
      <c r="AB171" s="78"/>
    </row>
    <row r="172" spans="1:28" s="75" customFormat="1" ht="26.25" customHeight="1">
      <c r="A172" s="37" t="s">
        <v>178</v>
      </c>
      <c r="B172" s="37">
        <v>1</v>
      </c>
      <c r="C172" s="37"/>
      <c r="D172" s="37"/>
      <c r="E172" s="37"/>
      <c r="F172" s="37"/>
      <c r="G172" s="37"/>
      <c r="H172" s="37"/>
      <c r="I172" s="37"/>
      <c r="J172" s="37">
        <v>112</v>
      </c>
      <c r="K172" s="42">
        <v>3237</v>
      </c>
      <c r="L172" s="333" t="s">
        <v>68</v>
      </c>
      <c r="M172" s="422">
        <f>39705/7.5345</f>
        <v>5269.759108102727</v>
      </c>
      <c r="N172" s="422">
        <f>40000/7.5345</f>
        <v>5308.912336585042</v>
      </c>
      <c r="O172" s="422">
        <v>40000</v>
      </c>
      <c r="P172" s="422">
        <f>40000/7.5345</f>
        <v>5308.912336585042</v>
      </c>
      <c r="Q172" s="422">
        <v>4219.56</v>
      </c>
      <c r="R172" s="422">
        <v>11161.32</v>
      </c>
      <c r="S172" s="422">
        <v>11161.32</v>
      </c>
      <c r="T172" s="437">
        <f t="shared" si="54"/>
        <v>211.7994346807707</v>
      </c>
      <c r="U172" s="437">
        <f t="shared" si="55"/>
        <v>100</v>
      </c>
      <c r="V172" s="78"/>
      <c r="W172" s="78"/>
      <c r="X172" s="78"/>
      <c r="Y172" s="78"/>
      <c r="Z172" s="78"/>
      <c r="AA172" s="78"/>
      <c r="AB172" s="78"/>
    </row>
    <row r="173" spans="1:28" s="75" customFormat="1" ht="21.75" customHeight="1">
      <c r="A173" s="37" t="s">
        <v>178</v>
      </c>
      <c r="B173" s="37">
        <v>1</v>
      </c>
      <c r="C173" s="37"/>
      <c r="D173" s="37"/>
      <c r="E173" s="37"/>
      <c r="F173" s="37"/>
      <c r="G173" s="37"/>
      <c r="H173" s="37"/>
      <c r="I173" s="37"/>
      <c r="J173" s="37">
        <v>112</v>
      </c>
      <c r="K173" s="42">
        <v>3237</v>
      </c>
      <c r="L173" s="302" t="s">
        <v>69</v>
      </c>
      <c r="M173" s="422">
        <v>0</v>
      </c>
      <c r="N173" s="422">
        <f>5000/7.5345</f>
        <v>663.6140420731302</v>
      </c>
      <c r="O173" s="422">
        <v>5000</v>
      </c>
      <c r="P173" s="422">
        <f>5000/7.5345</f>
        <v>663.6140420731302</v>
      </c>
      <c r="Q173" s="422">
        <v>0</v>
      </c>
      <c r="R173" s="422">
        <v>663.61</v>
      </c>
      <c r="S173" s="422"/>
      <c r="T173" s="437" t="e">
        <f t="shared" si="54"/>
        <v>#DIV/0!</v>
      </c>
      <c r="U173" s="437">
        <f t="shared" si="55"/>
        <v>0</v>
      </c>
      <c r="V173" s="78"/>
      <c r="W173" s="78"/>
      <c r="X173" s="78"/>
      <c r="Y173" s="78"/>
      <c r="Z173" s="78"/>
      <c r="AA173" s="78"/>
      <c r="AB173" s="78"/>
    </row>
    <row r="174" spans="1:28" s="75" customFormat="1" ht="19.5" customHeight="1">
      <c r="A174" s="37" t="s">
        <v>178</v>
      </c>
      <c r="B174" s="37">
        <v>1</v>
      </c>
      <c r="C174" s="37"/>
      <c r="D174" s="37"/>
      <c r="E174" s="37"/>
      <c r="F174" s="37"/>
      <c r="G174" s="37"/>
      <c r="H174" s="37"/>
      <c r="I174" s="37"/>
      <c r="J174" s="37">
        <v>112</v>
      </c>
      <c r="K174" s="42">
        <v>3237</v>
      </c>
      <c r="L174" s="88" t="s">
        <v>87</v>
      </c>
      <c r="M174" s="422">
        <f>13710/7.5345</f>
        <v>1819.629703364523</v>
      </c>
      <c r="N174" s="422">
        <f>15000/7.5345</f>
        <v>1990.8421262193906</v>
      </c>
      <c r="O174" s="422">
        <v>15000</v>
      </c>
      <c r="P174" s="422">
        <f>15000/7.5345</f>
        <v>1990.8421262193906</v>
      </c>
      <c r="Q174" s="422">
        <v>868.36</v>
      </c>
      <c r="R174" s="422">
        <f>1391.96+454.92</f>
        <v>1846.88</v>
      </c>
      <c r="S174" s="422">
        <v>1612.28</v>
      </c>
      <c r="T174" s="437">
        <f t="shared" si="54"/>
        <v>88.60484070021883</v>
      </c>
      <c r="U174" s="437">
        <f t="shared" si="55"/>
        <v>87.29749631811487</v>
      </c>
      <c r="V174" s="78"/>
      <c r="W174" s="78"/>
      <c r="X174" s="78"/>
      <c r="Y174" s="78"/>
      <c r="Z174" s="78"/>
      <c r="AA174" s="78"/>
      <c r="AB174" s="78"/>
    </row>
    <row r="175" spans="1:28" s="75" customFormat="1" ht="27.75" customHeight="1">
      <c r="A175" s="37" t="s">
        <v>178</v>
      </c>
      <c r="B175" s="37">
        <v>1</v>
      </c>
      <c r="C175" s="37"/>
      <c r="D175" s="37"/>
      <c r="E175" s="37"/>
      <c r="F175" s="37"/>
      <c r="G175" s="37"/>
      <c r="H175" s="37"/>
      <c r="I175" s="37"/>
      <c r="J175" s="37">
        <v>112</v>
      </c>
      <c r="K175" s="42">
        <v>3237</v>
      </c>
      <c r="L175" s="351" t="s">
        <v>330</v>
      </c>
      <c r="M175" s="422">
        <f>76530/7.5345</f>
        <v>10157.276527971331</v>
      </c>
      <c r="N175" s="422">
        <f>80000/7.5345</f>
        <v>10617.824673170084</v>
      </c>
      <c r="O175" s="422">
        <v>80000</v>
      </c>
      <c r="P175" s="422">
        <f>80000/7.5345</f>
        <v>10617.824673170084</v>
      </c>
      <c r="Q175" s="422">
        <v>1907.9</v>
      </c>
      <c r="R175" s="422">
        <v>10617</v>
      </c>
      <c r="S175" s="422">
        <v>8929.29</v>
      </c>
      <c r="T175" s="437">
        <f t="shared" si="54"/>
        <v>87.91027767542143</v>
      </c>
      <c r="U175" s="437">
        <f t="shared" si="55"/>
        <v>84.10370161062448</v>
      </c>
      <c r="V175" s="78"/>
      <c r="W175" s="78"/>
      <c r="X175" s="78"/>
      <c r="Y175" s="78"/>
      <c r="Z175" s="78"/>
      <c r="AA175" s="78"/>
      <c r="AB175" s="78"/>
    </row>
    <row r="176" spans="1:28" s="75" customFormat="1" ht="21" customHeight="1">
      <c r="A176" s="37" t="s">
        <v>178</v>
      </c>
      <c r="B176" s="37">
        <v>1</v>
      </c>
      <c r="C176" s="37"/>
      <c r="D176" s="37"/>
      <c r="E176" s="37"/>
      <c r="F176" s="37"/>
      <c r="G176" s="37"/>
      <c r="H176" s="37"/>
      <c r="I176" s="37"/>
      <c r="J176" s="37">
        <v>112</v>
      </c>
      <c r="K176" s="42">
        <v>3237</v>
      </c>
      <c r="L176" s="88" t="s">
        <v>403</v>
      </c>
      <c r="M176" s="422">
        <v>0</v>
      </c>
      <c r="N176" s="422">
        <v>0</v>
      </c>
      <c r="O176" s="422">
        <v>0</v>
      </c>
      <c r="P176" s="422">
        <v>0</v>
      </c>
      <c r="Q176" s="422">
        <v>0</v>
      </c>
      <c r="R176" s="422"/>
      <c r="S176" s="422"/>
      <c r="T176" s="437" t="e">
        <f t="shared" si="54"/>
        <v>#DIV/0!</v>
      </c>
      <c r="U176" s="437" t="e">
        <f t="shared" si="55"/>
        <v>#DIV/0!</v>
      </c>
      <c r="V176" s="78"/>
      <c r="W176" s="78"/>
      <c r="X176" s="78"/>
      <c r="Y176" s="78"/>
      <c r="Z176" s="78"/>
      <c r="AA176" s="78"/>
      <c r="AB176" s="78"/>
    </row>
    <row r="177" spans="1:28" s="75" customFormat="1" ht="24" customHeight="1">
      <c r="A177" s="37" t="s">
        <v>178</v>
      </c>
      <c r="B177" s="37">
        <v>1</v>
      </c>
      <c r="C177" s="37"/>
      <c r="D177" s="37"/>
      <c r="E177" s="37"/>
      <c r="F177" s="37"/>
      <c r="G177" s="37"/>
      <c r="H177" s="37"/>
      <c r="I177" s="37"/>
      <c r="J177" s="37">
        <v>112</v>
      </c>
      <c r="K177" s="42">
        <v>3237</v>
      </c>
      <c r="L177" s="381" t="s">
        <v>311</v>
      </c>
      <c r="M177" s="422">
        <f>32201/7.5345</f>
        <v>4273.807153759373</v>
      </c>
      <c r="N177" s="422">
        <f>30000/7.5345</f>
        <v>3981.684252438781</v>
      </c>
      <c r="O177" s="422">
        <v>30000</v>
      </c>
      <c r="P177" s="422">
        <f>30000/7.5345</f>
        <v>3981.684252438781</v>
      </c>
      <c r="Q177" s="422">
        <v>1792.64</v>
      </c>
      <c r="R177" s="422">
        <v>3981</v>
      </c>
      <c r="S177" s="422">
        <v>3810.48</v>
      </c>
      <c r="T177" s="437">
        <f t="shared" si="54"/>
        <v>89.1589129530139</v>
      </c>
      <c r="U177" s="437">
        <f t="shared" si="55"/>
        <v>95.7166541070083</v>
      </c>
      <c r="V177" s="78"/>
      <c r="W177" s="78"/>
      <c r="X177" s="78"/>
      <c r="Y177" s="78"/>
      <c r="Z177" s="78"/>
      <c r="AA177" s="78"/>
      <c r="AB177" s="78"/>
    </row>
    <row r="178" spans="1:28" s="75" customFormat="1" ht="20.25" customHeight="1">
      <c r="A178" s="37" t="s">
        <v>178</v>
      </c>
      <c r="B178" s="37">
        <v>1</v>
      </c>
      <c r="C178" s="37"/>
      <c r="D178" s="37"/>
      <c r="E178" s="37"/>
      <c r="F178" s="37"/>
      <c r="G178" s="37"/>
      <c r="H178" s="37"/>
      <c r="I178" s="37"/>
      <c r="J178" s="37">
        <v>112</v>
      </c>
      <c r="K178" s="42">
        <v>3237</v>
      </c>
      <c r="L178" s="87" t="s">
        <v>99</v>
      </c>
      <c r="M178" s="422">
        <f>52679/7.5345</f>
        <v>6991.704824474085</v>
      </c>
      <c r="N178" s="422">
        <v>0</v>
      </c>
      <c r="O178" s="422">
        <v>0</v>
      </c>
      <c r="P178" s="422">
        <v>0</v>
      </c>
      <c r="Q178" s="422">
        <v>0</v>
      </c>
      <c r="R178" s="422"/>
      <c r="S178" s="422"/>
      <c r="T178" s="437">
        <f t="shared" si="54"/>
        <v>0</v>
      </c>
      <c r="U178" s="437" t="e">
        <f t="shared" si="55"/>
        <v>#DIV/0!</v>
      </c>
      <c r="V178" s="78"/>
      <c r="W178" s="78"/>
      <c r="X178" s="78"/>
      <c r="Y178" s="78"/>
      <c r="Z178" s="78"/>
      <c r="AA178" s="78"/>
      <c r="AB178" s="78"/>
    </row>
    <row r="179" spans="1:28" s="75" customFormat="1" ht="32.25" customHeight="1">
      <c r="A179" s="37" t="s">
        <v>178</v>
      </c>
      <c r="B179" s="37">
        <v>1</v>
      </c>
      <c r="C179" s="37"/>
      <c r="D179" s="37"/>
      <c r="E179" s="37"/>
      <c r="F179" s="37"/>
      <c r="G179" s="37"/>
      <c r="H179" s="37"/>
      <c r="I179" s="37"/>
      <c r="J179" s="37">
        <v>112</v>
      </c>
      <c r="K179" s="42">
        <v>3237</v>
      </c>
      <c r="L179" s="352" t="s">
        <v>554</v>
      </c>
      <c r="M179" s="422">
        <f>10375/7.5345</f>
        <v>1376.9991373017451</v>
      </c>
      <c r="N179" s="422">
        <f>10000/7.5345</f>
        <v>1327.2280841462605</v>
      </c>
      <c r="O179" s="422">
        <v>10000</v>
      </c>
      <c r="P179" s="422">
        <f>10000/7.5345</f>
        <v>1327.2280841462605</v>
      </c>
      <c r="Q179" s="422">
        <v>8046.34</v>
      </c>
      <c r="R179" s="422">
        <v>10000</v>
      </c>
      <c r="S179" s="422">
        <v>9312.93</v>
      </c>
      <c r="T179" s="437">
        <f t="shared" si="54"/>
        <v>676.3206851566266</v>
      </c>
      <c r="U179" s="437">
        <f t="shared" si="55"/>
        <v>93.1293</v>
      </c>
      <c r="V179" s="78"/>
      <c r="W179" s="78"/>
      <c r="X179" s="78"/>
      <c r="Y179" s="78"/>
      <c r="Z179" s="78"/>
      <c r="AA179" s="78"/>
      <c r="AB179" s="78"/>
    </row>
    <row r="180" spans="1:28" s="75" customFormat="1" ht="18.75" customHeight="1">
      <c r="A180" s="37" t="s">
        <v>178</v>
      </c>
      <c r="B180" s="37">
        <v>1</v>
      </c>
      <c r="C180" s="37"/>
      <c r="D180" s="37"/>
      <c r="E180" s="37"/>
      <c r="F180" s="37"/>
      <c r="G180" s="37"/>
      <c r="H180" s="37"/>
      <c r="I180" s="37"/>
      <c r="J180" s="37">
        <v>112</v>
      </c>
      <c r="K180" s="42">
        <v>3237</v>
      </c>
      <c r="L180" s="352" t="s">
        <v>440</v>
      </c>
      <c r="M180" s="422">
        <v>0</v>
      </c>
      <c r="N180" s="422">
        <v>0</v>
      </c>
      <c r="O180" s="422">
        <v>0</v>
      </c>
      <c r="P180" s="422">
        <v>0</v>
      </c>
      <c r="Q180" s="422">
        <v>0</v>
      </c>
      <c r="R180" s="422"/>
      <c r="S180" s="422"/>
      <c r="T180" s="437" t="e">
        <f t="shared" si="54"/>
        <v>#DIV/0!</v>
      </c>
      <c r="U180" s="437" t="e">
        <f t="shared" si="55"/>
        <v>#DIV/0!</v>
      </c>
      <c r="V180" s="78"/>
      <c r="W180" s="78"/>
      <c r="X180" s="78"/>
      <c r="Y180" s="78"/>
      <c r="Z180" s="78"/>
      <c r="AA180" s="78"/>
      <c r="AB180" s="78"/>
    </row>
    <row r="181" spans="1:28" s="75" customFormat="1" ht="42" customHeight="1">
      <c r="A181" s="37" t="s">
        <v>178</v>
      </c>
      <c r="B181" s="37">
        <v>1</v>
      </c>
      <c r="C181" s="37"/>
      <c r="D181" s="37"/>
      <c r="E181" s="37"/>
      <c r="F181" s="37"/>
      <c r="G181" s="37"/>
      <c r="H181" s="37"/>
      <c r="I181" s="37"/>
      <c r="J181" s="37">
        <v>112</v>
      </c>
      <c r="K181" s="42">
        <v>32379</v>
      </c>
      <c r="L181" s="352" t="s">
        <v>502</v>
      </c>
      <c r="M181" s="422">
        <f>34975/7.5345</f>
        <v>4641.980224301546</v>
      </c>
      <c r="N181" s="422">
        <f>20000/7.5345</f>
        <v>2654.456168292521</v>
      </c>
      <c r="O181" s="422">
        <f>20000/7.5345</f>
        <v>2654.456168292521</v>
      </c>
      <c r="P181" s="422">
        <f>20000/7.5345</f>
        <v>2654.456168292521</v>
      </c>
      <c r="Q181" s="422">
        <v>2250</v>
      </c>
      <c r="R181" s="422">
        <f>2250+1600</f>
        <v>3850</v>
      </c>
      <c r="S181" s="422">
        <v>8000</v>
      </c>
      <c r="T181" s="437">
        <f t="shared" si="54"/>
        <v>172.34024303073627</v>
      </c>
      <c r="U181" s="437">
        <f t="shared" si="55"/>
        <v>207.79220779220776</v>
      </c>
      <c r="V181" s="78"/>
      <c r="W181" s="78"/>
      <c r="X181" s="78"/>
      <c r="Y181" s="78"/>
      <c r="Z181" s="78"/>
      <c r="AA181" s="78"/>
      <c r="AB181" s="78"/>
    </row>
    <row r="182" spans="1:28" s="75" customFormat="1" ht="24" customHeight="1">
      <c r="A182" s="37" t="s">
        <v>178</v>
      </c>
      <c r="B182" s="37">
        <v>1</v>
      </c>
      <c r="C182" s="37"/>
      <c r="D182" s="37"/>
      <c r="E182" s="37"/>
      <c r="F182" s="37"/>
      <c r="G182" s="37"/>
      <c r="H182" s="37"/>
      <c r="I182" s="37"/>
      <c r="J182" s="37">
        <v>112</v>
      </c>
      <c r="K182" s="42">
        <v>3238</v>
      </c>
      <c r="L182" s="87" t="s">
        <v>70</v>
      </c>
      <c r="M182" s="422">
        <f>6365/7.5345</f>
        <v>844.7806755590948</v>
      </c>
      <c r="N182" s="422">
        <f>7000/7.5345</f>
        <v>929.0596589023824</v>
      </c>
      <c r="O182" s="422">
        <v>7000</v>
      </c>
      <c r="P182" s="422">
        <f>7000/7.5345</f>
        <v>929.0596589023824</v>
      </c>
      <c r="Q182" s="422">
        <v>0</v>
      </c>
      <c r="R182" s="422">
        <v>0</v>
      </c>
      <c r="S182" s="422"/>
      <c r="T182" s="437">
        <f t="shared" si="54"/>
        <v>0</v>
      </c>
      <c r="U182" s="437" t="e">
        <f t="shared" si="55"/>
        <v>#DIV/0!</v>
      </c>
      <c r="V182" s="78"/>
      <c r="W182" s="78"/>
      <c r="X182" s="78"/>
      <c r="Y182" s="78"/>
      <c r="Z182" s="78"/>
      <c r="AA182" s="78"/>
      <c r="AB182" s="78"/>
    </row>
    <row r="183" spans="1:28" s="75" customFormat="1" ht="24" customHeight="1">
      <c r="A183" s="37" t="s">
        <v>178</v>
      </c>
      <c r="B183" s="37">
        <v>1</v>
      </c>
      <c r="C183" s="37"/>
      <c r="D183" s="37"/>
      <c r="E183" s="37"/>
      <c r="F183" s="37"/>
      <c r="G183" s="37"/>
      <c r="H183" s="37"/>
      <c r="I183" s="37"/>
      <c r="J183" s="37">
        <v>112</v>
      </c>
      <c r="K183" s="42">
        <v>3239</v>
      </c>
      <c r="L183" s="87" t="s">
        <v>71</v>
      </c>
      <c r="M183" s="422">
        <v>0</v>
      </c>
      <c r="N183" s="422">
        <f>20000/7.5345</f>
        <v>2654.456168292521</v>
      </c>
      <c r="O183" s="422">
        <v>20000</v>
      </c>
      <c r="P183" s="422">
        <f>20000/7.5345</f>
        <v>2654.456168292521</v>
      </c>
      <c r="Q183" s="422">
        <v>0</v>
      </c>
      <c r="R183" s="422">
        <v>2654</v>
      </c>
      <c r="S183" s="422">
        <v>4812.5</v>
      </c>
      <c r="T183" s="437" t="e">
        <f t="shared" si="54"/>
        <v>#DIV/0!</v>
      </c>
      <c r="U183" s="437">
        <f t="shared" si="55"/>
        <v>181.33006782215523</v>
      </c>
      <c r="V183" s="78"/>
      <c r="W183" s="78"/>
      <c r="X183" s="78"/>
      <c r="Y183" s="78"/>
      <c r="Z183" s="78"/>
      <c r="AA183" s="78"/>
      <c r="AB183" s="78"/>
    </row>
    <row r="184" spans="1:28" s="75" customFormat="1" ht="23.25" customHeight="1">
      <c r="A184" s="37" t="s">
        <v>178</v>
      </c>
      <c r="B184" s="37">
        <v>1</v>
      </c>
      <c r="C184" s="37"/>
      <c r="D184" s="37"/>
      <c r="E184" s="37"/>
      <c r="F184" s="37"/>
      <c r="G184" s="37"/>
      <c r="H184" s="37"/>
      <c r="I184" s="37"/>
      <c r="J184" s="37">
        <v>112</v>
      </c>
      <c r="K184" s="272">
        <v>324</v>
      </c>
      <c r="L184" s="290" t="s">
        <v>104</v>
      </c>
      <c r="M184" s="422">
        <f aca="true" t="shared" si="63" ref="M184:S184">M185+M186</f>
        <v>1894.6180901187868</v>
      </c>
      <c r="N184" s="422">
        <f t="shared" si="63"/>
        <v>1327.2280841462605</v>
      </c>
      <c r="O184" s="422">
        <f t="shared" si="63"/>
        <v>10000</v>
      </c>
      <c r="P184" s="422">
        <f t="shared" si="63"/>
        <v>1327.2280841462605</v>
      </c>
      <c r="Q184" s="422">
        <f t="shared" si="63"/>
        <v>1095.31</v>
      </c>
      <c r="R184" s="422">
        <f t="shared" si="63"/>
        <v>2382</v>
      </c>
      <c r="S184" s="422">
        <f t="shared" si="63"/>
        <v>2411.72</v>
      </c>
      <c r="T184" s="437">
        <f t="shared" si="54"/>
        <v>127.29320028021016</v>
      </c>
      <c r="U184" s="437">
        <f t="shared" si="55"/>
        <v>101.24769101595297</v>
      </c>
      <c r="V184" s="78"/>
      <c r="W184" s="78"/>
      <c r="X184" s="78"/>
      <c r="Y184" s="78"/>
      <c r="Z184" s="78"/>
      <c r="AA184" s="78"/>
      <c r="AB184" s="78"/>
    </row>
    <row r="185" spans="1:28" s="75" customFormat="1" ht="21.75" customHeight="1">
      <c r="A185" s="37" t="s">
        <v>178</v>
      </c>
      <c r="B185" s="37">
        <v>1</v>
      </c>
      <c r="C185" s="37"/>
      <c r="D185" s="37"/>
      <c r="E185" s="37"/>
      <c r="F185" s="37"/>
      <c r="G185" s="37"/>
      <c r="H185" s="37"/>
      <c r="I185" s="37"/>
      <c r="J185" s="37">
        <v>112</v>
      </c>
      <c r="K185" s="42">
        <v>3241</v>
      </c>
      <c r="L185" s="87" t="s">
        <v>105</v>
      </c>
      <c r="M185" s="422"/>
      <c r="N185" s="422">
        <v>0</v>
      </c>
      <c r="O185" s="422"/>
      <c r="P185" s="422"/>
      <c r="Q185" s="422"/>
      <c r="R185" s="422"/>
      <c r="S185" s="422"/>
      <c r="T185" s="437" t="e">
        <f t="shared" si="54"/>
        <v>#DIV/0!</v>
      </c>
      <c r="U185" s="437" t="e">
        <f t="shared" si="55"/>
        <v>#DIV/0!</v>
      </c>
      <c r="V185" s="78"/>
      <c r="W185" s="78"/>
      <c r="X185" s="78"/>
      <c r="Y185" s="78"/>
      <c r="Z185" s="78"/>
      <c r="AA185" s="78"/>
      <c r="AB185" s="78"/>
    </row>
    <row r="186" spans="1:28" s="75" customFormat="1" ht="30.75" customHeight="1">
      <c r="A186" s="37" t="s">
        <v>178</v>
      </c>
      <c r="B186" s="37">
        <v>1</v>
      </c>
      <c r="C186" s="37"/>
      <c r="D186" s="37"/>
      <c r="E186" s="37"/>
      <c r="F186" s="37"/>
      <c r="G186" s="37"/>
      <c r="H186" s="37"/>
      <c r="I186" s="37"/>
      <c r="J186" s="37">
        <v>112</v>
      </c>
      <c r="K186" s="42">
        <v>3241</v>
      </c>
      <c r="L186" s="87" t="s">
        <v>106</v>
      </c>
      <c r="M186" s="422">
        <f>14275/7.5345</f>
        <v>1894.6180901187868</v>
      </c>
      <c r="N186" s="422">
        <f>10000/7.5345</f>
        <v>1327.2280841462605</v>
      </c>
      <c r="O186" s="422">
        <v>10000</v>
      </c>
      <c r="P186" s="422">
        <f>10000/7.5345</f>
        <v>1327.2280841462605</v>
      </c>
      <c r="Q186" s="422">
        <v>1095.31</v>
      </c>
      <c r="R186" s="422">
        <v>2382</v>
      </c>
      <c r="S186" s="422">
        <v>2411.72</v>
      </c>
      <c r="T186" s="437">
        <f t="shared" si="54"/>
        <v>127.29320028021016</v>
      </c>
      <c r="U186" s="437">
        <f t="shared" si="55"/>
        <v>101.24769101595297</v>
      </c>
      <c r="V186" s="78"/>
      <c r="W186" s="78"/>
      <c r="X186" s="78"/>
      <c r="Y186" s="78"/>
      <c r="Z186" s="78"/>
      <c r="AA186" s="78"/>
      <c r="AB186" s="78"/>
    </row>
    <row r="187" spans="1:28" s="75" customFormat="1" ht="27" customHeight="1">
      <c r="A187" s="37" t="s">
        <v>178</v>
      </c>
      <c r="B187" s="37">
        <v>1</v>
      </c>
      <c r="C187" s="37"/>
      <c r="D187" s="37"/>
      <c r="E187" s="37"/>
      <c r="F187" s="37"/>
      <c r="G187" s="37"/>
      <c r="H187" s="37"/>
      <c r="I187" s="37"/>
      <c r="J187" s="37">
        <v>112</v>
      </c>
      <c r="K187" s="272">
        <v>329</v>
      </c>
      <c r="L187" s="273" t="s">
        <v>34</v>
      </c>
      <c r="M187" s="422">
        <f aca="true" t="shared" si="64" ref="M187:S187">M188+M190+M191+M192</f>
        <v>7228.615037494193</v>
      </c>
      <c r="N187" s="422">
        <f t="shared" si="64"/>
        <v>7040.015926737009</v>
      </c>
      <c r="O187" s="422">
        <f t="shared" si="64"/>
        <v>53043</v>
      </c>
      <c r="P187" s="422">
        <f t="shared" si="64"/>
        <v>7040.015926737009</v>
      </c>
      <c r="Q187" s="422">
        <f t="shared" si="64"/>
        <v>2934.68</v>
      </c>
      <c r="R187" s="422">
        <f t="shared" si="64"/>
        <v>13730.61</v>
      </c>
      <c r="S187" s="422">
        <f t="shared" si="64"/>
        <v>12770.66</v>
      </c>
      <c r="T187" s="437">
        <f t="shared" si="54"/>
        <v>176.66814367288487</v>
      </c>
      <c r="U187" s="437">
        <f t="shared" si="55"/>
        <v>93.0086864312656</v>
      </c>
      <c r="V187" s="78"/>
      <c r="W187" s="78"/>
      <c r="X187" s="78"/>
      <c r="Y187" s="78"/>
      <c r="Z187" s="78"/>
      <c r="AA187" s="78"/>
      <c r="AB187" s="78"/>
    </row>
    <row r="188" spans="1:28" s="75" customFormat="1" ht="21" customHeight="1">
      <c r="A188" s="37" t="s">
        <v>178</v>
      </c>
      <c r="B188" s="37">
        <v>1</v>
      </c>
      <c r="C188" s="37"/>
      <c r="D188" s="37"/>
      <c r="E188" s="37"/>
      <c r="F188" s="37"/>
      <c r="G188" s="37"/>
      <c r="H188" s="37"/>
      <c r="I188" s="37"/>
      <c r="J188" s="37">
        <v>112</v>
      </c>
      <c r="K188" s="42">
        <v>3292</v>
      </c>
      <c r="L188" s="87" t="s">
        <v>72</v>
      </c>
      <c r="M188" s="422">
        <f>32661/7.5345</f>
        <v>4334.859645630101</v>
      </c>
      <c r="N188" s="422">
        <f>40000/7.5345</f>
        <v>5308.912336585042</v>
      </c>
      <c r="O188" s="422">
        <v>40000</v>
      </c>
      <c r="P188" s="422">
        <f>40000/7.5345</f>
        <v>5308.912336585042</v>
      </c>
      <c r="Q188" s="422">
        <v>2513.97</v>
      </c>
      <c r="R188" s="422">
        <v>12000</v>
      </c>
      <c r="S188" s="422">
        <v>11091.1</v>
      </c>
      <c r="T188" s="437">
        <f t="shared" si="54"/>
        <v>255.85834160007352</v>
      </c>
      <c r="U188" s="437">
        <f t="shared" si="55"/>
        <v>92.42583333333334</v>
      </c>
      <c r="V188" s="78"/>
      <c r="W188" s="78"/>
      <c r="X188" s="78"/>
      <c r="Y188" s="78"/>
      <c r="Z188" s="78"/>
      <c r="AA188" s="78"/>
      <c r="AB188" s="78"/>
    </row>
    <row r="189" spans="1:28" s="75" customFormat="1" ht="29.25" customHeight="1">
      <c r="A189" s="37" t="s">
        <v>178</v>
      </c>
      <c r="B189" s="37">
        <v>1</v>
      </c>
      <c r="C189" s="37"/>
      <c r="D189" s="37"/>
      <c r="E189" s="37"/>
      <c r="F189" s="37"/>
      <c r="G189" s="37"/>
      <c r="H189" s="37"/>
      <c r="I189" s="37"/>
      <c r="J189" s="37">
        <v>112</v>
      </c>
      <c r="K189" s="42">
        <v>3293</v>
      </c>
      <c r="L189" s="87" t="s">
        <v>57</v>
      </c>
      <c r="M189" s="422"/>
      <c r="N189" s="422"/>
      <c r="O189" s="422"/>
      <c r="P189" s="422"/>
      <c r="Q189" s="422"/>
      <c r="R189" s="422"/>
      <c r="S189" s="422"/>
      <c r="T189" s="437" t="e">
        <f t="shared" si="54"/>
        <v>#DIV/0!</v>
      </c>
      <c r="U189" s="437" t="e">
        <f t="shared" si="55"/>
        <v>#DIV/0!</v>
      </c>
      <c r="V189" s="78"/>
      <c r="W189" s="78"/>
      <c r="X189" s="78"/>
      <c r="Y189" s="78"/>
      <c r="Z189" s="78"/>
      <c r="AA189" s="78"/>
      <c r="AB189" s="78"/>
    </row>
    <row r="190" spans="1:28" s="75" customFormat="1" ht="24" customHeight="1">
      <c r="A190" s="37" t="s">
        <v>178</v>
      </c>
      <c r="B190" s="37">
        <v>1</v>
      </c>
      <c r="C190" s="37"/>
      <c r="D190" s="37"/>
      <c r="E190" s="37"/>
      <c r="F190" s="37"/>
      <c r="G190" s="37"/>
      <c r="H190" s="37"/>
      <c r="I190" s="37"/>
      <c r="J190" s="37">
        <v>112</v>
      </c>
      <c r="K190" s="42">
        <v>3294</v>
      </c>
      <c r="L190" s="87" t="s">
        <v>73</v>
      </c>
      <c r="M190" s="422">
        <v>0</v>
      </c>
      <c r="N190" s="422">
        <v>0</v>
      </c>
      <c r="O190" s="422">
        <v>0</v>
      </c>
      <c r="P190" s="422">
        <v>0</v>
      </c>
      <c r="Q190" s="422">
        <v>0</v>
      </c>
      <c r="R190" s="422"/>
      <c r="S190" s="422"/>
      <c r="T190" s="437" t="e">
        <f t="shared" si="54"/>
        <v>#DIV/0!</v>
      </c>
      <c r="U190" s="437" t="e">
        <f t="shared" si="55"/>
        <v>#DIV/0!</v>
      </c>
      <c r="V190" s="78"/>
      <c r="W190" s="78"/>
      <c r="X190" s="78"/>
      <c r="Y190" s="78"/>
      <c r="Z190" s="78"/>
      <c r="AA190" s="78"/>
      <c r="AB190" s="78"/>
    </row>
    <row r="191" spans="1:28" s="75" customFormat="1" ht="21" customHeight="1">
      <c r="A191" s="37" t="s">
        <v>178</v>
      </c>
      <c r="B191" s="37">
        <v>1</v>
      </c>
      <c r="C191" s="37"/>
      <c r="D191" s="37"/>
      <c r="E191" s="37"/>
      <c r="F191" s="37"/>
      <c r="G191" s="37"/>
      <c r="H191" s="37"/>
      <c r="I191" s="37"/>
      <c r="J191" s="37">
        <v>112</v>
      </c>
      <c r="K191" s="42">
        <v>3295</v>
      </c>
      <c r="L191" s="87" t="s">
        <v>100</v>
      </c>
      <c r="M191" s="422">
        <f>21803/7.5345</f>
        <v>2893.7553918640915</v>
      </c>
      <c r="N191" s="422">
        <f>8043/7.5345</f>
        <v>1067.4895480788373</v>
      </c>
      <c r="O191" s="422">
        <v>8043</v>
      </c>
      <c r="P191" s="422">
        <f>8043/7.5345</f>
        <v>1067.4895480788373</v>
      </c>
      <c r="Q191" s="422">
        <v>0</v>
      </c>
      <c r="R191" s="422">
        <v>1067</v>
      </c>
      <c r="S191" s="422">
        <v>1109.48</v>
      </c>
      <c r="T191" s="437">
        <f t="shared" si="54"/>
        <v>38.340490116039085</v>
      </c>
      <c r="U191" s="437">
        <f t="shared" si="55"/>
        <v>103.98125585754453</v>
      </c>
      <c r="V191" s="78"/>
      <c r="W191" s="78"/>
      <c r="X191" s="78"/>
      <c r="Y191" s="78"/>
      <c r="Z191" s="78"/>
      <c r="AA191" s="78"/>
      <c r="AB191" s="78"/>
    </row>
    <row r="192" spans="1:28" s="75" customFormat="1" ht="21" customHeight="1">
      <c r="A192" s="37" t="s">
        <v>178</v>
      </c>
      <c r="B192" s="37">
        <v>1</v>
      </c>
      <c r="C192" s="37"/>
      <c r="D192" s="37"/>
      <c r="E192" s="37"/>
      <c r="F192" s="37"/>
      <c r="G192" s="37"/>
      <c r="H192" s="37"/>
      <c r="I192" s="37"/>
      <c r="J192" s="37">
        <v>112</v>
      </c>
      <c r="K192" s="42">
        <v>3299</v>
      </c>
      <c r="L192" s="88" t="s">
        <v>34</v>
      </c>
      <c r="M192" s="422">
        <v>0</v>
      </c>
      <c r="N192" s="422">
        <f>5000/7.5345</f>
        <v>663.6140420731302</v>
      </c>
      <c r="O192" s="422">
        <v>5000</v>
      </c>
      <c r="P192" s="422">
        <f>5000/7.5345</f>
        <v>663.6140420731302</v>
      </c>
      <c r="Q192" s="422">
        <f>277.37+143.34</f>
        <v>420.71000000000004</v>
      </c>
      <c r="R192" s="422">
        <v>663.61</v>
      </c>
      <c r="S192" s="422">
        <v>570.08</v>
      </c>
      <c r="T192" s="437" t="e">
        <f t="shared" si="54"/>
        <v>#DIV/0!</v>
      </c>
      <c r="U192" s="437">
        <f t="shared" si="55"/>
        <v>85.90587845270566</v>
      </c>
      <c r="V192" s="78"/>
      <c r="W192" s="78"/>
      <c r="X192" s="78"/>
      <c r="Y192" s="78"/>
      <c r="Z192" s="78"/>
      <c r="AA192" s="78"/>
      <c r="AB192" s="78"/>
    </row>
    <row r="193" spans="1:28" s="75" customFormat="1" ht="21" customHeight="1">
      <c r="A193" s="37" t="s">
        <v>178</v>
      </c>
      <c r="B193" s="37">
        <v>1</v>
      </c>
      <c r="C193" s="37"/>
      <c r="D193" s="37"/>
      <c r="E193" s="37"/>
      <c r="F193" s="37"/>
      <c r="G193" s="37"/>
      <c r="H193" s="37"/>
      <c r="I193" s="37"/>
      <c r="J193" s="37">
        <v>170</v>
      </c>
      <c r="K193" s="272">
        <v>34</v>
      </c>
      <c r="L193" s="290" t="s">
        <v>8</v>
      </c>
      <c r="M193" s="422">
        <f aca="true" t="shared" si="65" ref="M193:S193">M194+M196</f>
        <v>13409.781670980157</v>
      </c>
      <c r="N193" s="422">
        <f t="shared" si="65"/>
        <v>13655.239232862166</v>
      </c>
      <c r="O193" s="422">
        <f t="shared" si="65"/>
        <v>102885.4</v>
      </c>
      <c r="P193" s="422">
        <f t="shared" si="65"/>
        <v>13655.239232862166</v>
      </c>
      <c r="Q193" s="422">
        <f t="shared" si="65"/>
        <v>17439.100000000002</v>
      </c>
      <c r="R193" s="422">
        <f t="shared" si="65"/>
        <v>36600</v>
      </c>
      <c r="S193" s="422">
        <f t="shared" si="65"/>
        <v>34742.08</v>
      </c>
      <c r="T193" s="437">
        <f t="shared" si="54"/>
        <v>259.08013159665865</v>
      </c>
      <c r="U193" s="437">
        <f t="shared" si="55"/>
        <v>94.92371584699454</v>
      </c>
      <c r="V193" s="78"/>
      <c r="W193" s="78"/>
      <c r="X193" s="78"/>
      <c r="Y193" s="78"/>
      <c r="Z193" s="78"/>
      <c r="AA193" s="78"/>
      <c r="AB193" s="78"/>
    </row>
    <row r="194" spans="1:28" s="75" customFormat="1" ht="21.75" customHeight="1">
      <c r="A194" s="37" t="s">
        <v>178</v>
      </c>
      <c r="B194" s="37">
        <v>1</v>
      </c>
      <c r="C194" s="37"/>
      <c r="D194" s="37"/>
      <c r="E194" s="37"/>
      <c r="F194" s="37"/>
      <c r="G194" s="37"/>
      <c r="H194" s="37"/>
      <c r="I194" s="37"/>
      <c r="J194" s="37">
        <v>170</v>
      </c>
      <c r="K194" s="272">
        <v>342</v>
      </c>
      <c r="L194" s="290" t="s">
        <v>419</v>
      </c>
      <c r="M194" s="422">
        <f aca="true" t="shared" si="66" ref="M194:S194">M195</f>
        <v>6927.068816776163</v>
      </c>
      <c r="N194" s="422">
        <f t="shared" si="66"/>
        <v>7019.098812130864</v>
      </c>
      <c r="O194" s="422">
        <f t="shared" si="66"/>
        <v>52885.399999999994</v>
      </c>
      <c r="P194" s="422">
        <f t="shared" si="66"/>
        <v>7019.098812130864</v>
      </c>
      <c r="Q194" s="422">
        <f t="shared" si="66"/>
        <v>976.08</v>
      </c>
      <c r="R194" s="422">
        <f t="shared" si="66"/>
        <v>1000</v>
      </c>
      <c r="S194" s="422">
        <f t="shared" si="66"/>
        <v>1097.21</v>
      </c>
      <c r="T194" s="437">
        <f t="shared" si="54"/>
        <v>15.839455749923362</v>
      </c>
      <c r="U194" s="437">
        <f t="shared" si="55"/>
        <v>109.721</v>
      </c>
      <c r="V194" s="78"/>
      <c r="W194" s="78"/>
      <c r="X194" s="78"/>
      <c r="Y194" s="78"/>
      <c r="Z194" s="78"/>
      <c r="AA194" s="78"/>
      <c r="AB194" s="78"/>
    </row>
    <row r="195" spans="1:28" s="75" customFormat="1" ht="31.5" customHeight="1">
      <c r="A195" s="37" t="s">
        <v>178</v>
      </c>
      <c r="B195" s="37">
        <v>1</v>
      </c>
      <c r="C195" s="37"/>
      <c r="D195" s="37"/>
      <c r="E195" s="37"/>
      <c r="F195" s="37"/>
      <c r="G195" s="37"/>
      <c r="H195" s="37"/>
      <c r="I195" s="37"/>
      <c r="J195" s="37">
        <v>170</v>
      </c>
      <c r="K195" s="42">
        <v>3423</v>
      </c>
      <c r="L195" s="352" t="s">
        <v>420</v>
      </c>
      <c r="M195" s="422">
        <f>52192/7.5345</f>
        <v>6927.068816776163</v>
      </c>
      <c r="N195" s="422">
        <f>(27257.67+24627.73+1000)/7.5345</f>
        <v>7019.098812130864</v>
      </c>
      <c r="O195" s="422">
        <f>27257.67+24627.73+1000</f>
        <v>52885.399999999994</v>
      </c>
      <c r="P195" s="422">
        <f>(27257.67+24627.73+1000)/7.5345</f>
        <v>7019.098812130864</v>
      </c>
      <c r="Q195" s="422">
        <f>859.75+85.09+31.24</f>
        <v>976.08</v>
      </c>
      <c r="R195" s="422">
        <v>1000</v>
      </c>
      <c r="S195" s="422">
        <f>13.28+859.75+192.94+31.24</f>
        <v>1097.21</v>
      </c>
      <c r="T195" s="437">
        <f t="shared" si="54"/>
        <v>15.839455749923362</v>
      </c>
      <c r="U195" s="437">
        <f t="shared" si="55"/>
        <v>109.721</v>
      </c>
      <c r="V195" s="78"/>
      <c r="W195" s="78"/>
      <c r="X195" s="78"/>
      <c r="Y195" s="78"/>
      <c r="Z195" s="78"/>
      <c r="AA195" s="78"/>
      <c r="AB195" s="78"/>
    </row>
    <row r="196" spans="1:28" s="75" customFormat="1" ht="20.25" customHeight="1">
      <c r="A196" s="37" t="s">
        <v>178</v>
      </c>
      <c r="B196" s="37">
        <v>1</v>
      </c>
      <c r="C196" s="37"/>
      <c r="D196" s="37"/>
      <c r="E196" s="37"/>
      <c r="F196" s="37"/>
      <c r="G196" s="37"/>
      <c r="H196" s="37"/>
      <c r="I196" s="37"/>
      <c r="J196" s="37">
        <v>170</v>
      </c>
      <c r="K196" s="272">
        <v>343</v>
      </c>
      <c r="L196" s="290" t="s">
        <v>9</v>
      </c>
      <c r="M196" s="422">
        <f aca="true" t="shared" si="67" ref="M196:S196">M197+M199</f>
        <v>6482.7128542039945</v>
      </c>
      <c r="N196" s="422">
        <f t="shared" si="67"/>
        <v>6636.140420731303</v>
      </c>
      <c r="O196" s="422">
        <f t="shared" si="67"/>
        <v>50000</v>
      </c>
      <c r="P196" s="422">
        <f t="shared" si="67"/>
        <v>6636.140420731303</v>
      </c>
      <c r="Q196" s="422">
        <f t="shared" si="67"/>
        <v>16463.02</v>
      </c>
      <c r="R196" s="422">
        <f t="shared" si="67"/>
        <v>35600</v>
      </c>
      <c r="S196" s="422">
        <f t="shared" si="67"/>
        <v>33644.87</v>
      </c>
      <c r="T196" s="437">
        <f t="shared" si="54"/>
        <v>518.9936799095079</v>
      </c>
      <c r="U196" s="437">
        <f t="shared" si="55"/>
        <v>94.50806179775282</v>
      </c>
      <c r="V196" s="78"/>
      <c r="W196" s="78"/>
      <c r="X196" s="78"/>
      <c r="Y196" s="78"/>
      <c r="Z196" s="78"/>
      <c r="AA196" s="78"/>
      <c r="AB196" s="78"/>
    </row>
    <row r="197" spans="1:28" s="75" customFormat="1" ht="21" customHeight="1">
      <c r="A197" s="37" t="s">
        <v>178</v>
      </c>
      <c r="B197" s="37">
        <v>1</v>
      </c>
      <c r="C197" s="37"/>
      <c r="D197" s="37"/>
      <c r="E197" s="37"/>
      <c r="F197" s="37"/>
      <c r="G197" s="37"/>
      <c r="H197" s="37"/>
      <c r="I197" s="37"/>
      <c r="J197" s="37">
        <v>170</v>
      </c>
      <c r="K197" s="42">
        <v>3431</v>
      </c>
      <c r="L197" s="88" t="s">
        <v>74</v>
      </c>
      <c r="M197" s="422">
        <f>25571/7.5345</f>
        <v>3393.8549339704027</v>
      </c>
      <c r="N197" s="422">
        <f>20000/7.5345</f>
        <v>2654.456168292521</v>
      </c>
      <c r="O197" s="422">
        <v>20000</v>
      </c>
      <c r="P197" s="422">
        <f>20000/7.5345</f>
        <v>2654.456168292521</v>
      </c>
      <c r="Q197" s="422">
        <f>2003.33+237</f>
        <v>2240.33</v>
      </c>
      <c r="R197" s="422">
        <v>5000</v>
      </c>
      <c r="S197" s="422">
        <f>2483.72+431.75</f>
        <v>2915.47</v>
      </c>
      <c r="T197" s="437">
        <f t="shared" si="54"/>
        <v>85.90437884713151</v>
      </c>
      <c r="U197" s="437">
        <f t="shared" si="55"/>
        <v>58.3094</v>
      </c>
      <c r="V197" s="78"/>
      <c r="W197" s="78"/>
      <c r="X197" s="78"/>
      <c r="Y197" s="78"/>
      <c r="Z197" s="78"/>
      <c r="AA197" s="78"/>
      <c r="AB197" s="78"/>
    </row>
    <row r="198" spans="1:28" s="75" customFormat="1" ht="19.5" customHeight="1">
      <c r="A198" s="37" t="s">
        <v>178</v>
      </c>
      <c r="B198" s="37"/>
      <c r="C198" s="37"/>
      <c r="D198" s="37"/>
      <c r="E198" s="37"/>
      <c r="F198" s="37"/>
      <c r="G198" s="37"/>
      <c r="H198" s="37"/>
      <c r="I198" s="37"/>
      <c r="J198" s="37">
        <v>170</v>
      </c>
      <c r="K198" s="90">
        <v>3433</v>
      </c>
      <c r="L198" s="91" t="s">
        <v>498</v>
      </c>
      <c r="M198" s="423"/>
      <c r="N198" s="423"/>
      <c r="O198" s="423"/>
      <c r="P198" s="423"/>
      <c r="Q198" s="423"/>
      <c r="R198" s="423"/>
      <c r="S198" s="423"/>
      <c r="T198" s="437" t="e">
        <f t="shared" si="54"/>
        <v>#DIV/0!</v>
      </c>
      <c r="U198" s="437" t="e">
        <f t="shared" si="55"/>
        <v>#DIV/0!</v>
      </c>
      <c r="V198" s="78"/>
      <c r="W198" s="78"/>
      <c r="X198" s="78"/>
      <c r="Y198" s="78"/>
      <c r="Z198" s="78"/>
      <c r="AA198" s="78"/>
      <c r="AB198" s="78"/>
    </row>
    <row r="199" spans="1:28" s="75" customFormat="1" ht="20.25" customHeight="1">
      <c r="A199" s="37" t="s">
        <v>178</v>
      </c>
      <c r="B199" s="37">
        <v>1</v>
      </c>
      <c r="C199" s="37"/>
      <c r="D199" s="37"/>
      <c r="E199" s="37"/>
      <c r="F199" s="37"/>
      <c r="G199" s="37"/>
      <c r="H199" s="37"/>
      <c r="I199" s="37"/>
      <c r="J199" s="37">
        <v>170</v>
      </c>
      <c r="K199" s="90">
        <v>3439</v>
      </c>
      <c r="L199" s="91" t="s">
        <v>9</v>
      </c>
      <c r="M199" s="423">
        <f>23273/7.5345</f>
        <v>3088.857920233592</v>
      </c>
      <c r="N199" s="423">
        <f>30000/7.5345</f>
        <v>3981.684252438781</v>
      </c>
      <c r="O199" s="423">
        <v>30000</v>
      </c>
      <c r="P199" s="423">
        <f>30000/7.5345</f>
        <v>3981.684252438781</v>
      </c>
      <c r="Q199" s="423">
        <v>14222.69</v>
      </c>
      <c r="R199" s="423">
        <v>30600</v>
      </c>
      <c r="S199" s="423">
        <v>30729.4</v>
      </c>
      <c r="T199" s="437">
        <f t="shared" si="54"/>
        <v>994.8466648047095</v>
      </c>
      <c r="U199" s="437">
        <f t="shared" si="55"/>
        <v>100.42287581699347</v>
      </c>
      <c r="V199" s="78"/>
      <c r="W199" s="78"/>
      <c r="X199" s="78"/>
      <c r="Y199" s="78"/>
      <c r="Z199" s="78"/>
      <c r="AA199" s="78"/>
      <c r="AB199" s="78"/>
    </row>
    <row r="200" spans="1:28" s="75" customFormat="1" ht="15.75">
      <c r="A200" s="37" t="s">
        <v>178</v>
      </c>
      <c r="B200" s="37">
        <v>1</v>
      </c>
      <c r="C200" s="37"/>
      <c r="D200" s="37"/>
      <c r="E200" s="37"/>
      <c r="F200" s="37"/>
      <c r="G200" s="37"/>
      <c r="H200" s="37"/>
      <c r="I200" s="37"/>
      <c r="J200" s="37">
        <v>1090</v>
      </c>
      <c r="K200" s="283">
        <v>38</v>
      </c>
      <c r="L200" s="291" t="s">
        <v>82</v>
      </c>
      <c r="M200" s="423">
        <f aca="true" t="shared" si="68" ref="M200:S200">M201</f>
        <v>9792.952418873183</v>
      </c>
      <c r="N200" s="423">
        <f t="shared" si="68"/>
        <v>11281.438715243214</v>
      </c>
      <c r="O200" s="423">
        <f t="shared" si="68"/>
        <v>85000</v>
      </c>
      <c r="P200" s="423">
        <f t="shared" si="68"/>
        <v>11281.438715243214</v>
      </c>
      <c r="Q200" s="423">
        <f t="shared" si="68"/>
        <v>2790.84</v>
      </c>
      <c r="R200" s="423">
        <f t="shared" si="68"/>
        <v>4402.34</v>
      </c>
      <c r="S200" s="423">
        <f t="shared" si="68"/>
        <v>4402.34</v>
      </c>
      <c r="T200" s="437">
        <f aca="true" t="shared" si="69" ref="T200:T211">S200/M200*100</f>
        <v>44.95416511486074</v>
      </c>
      <c r="U200" s="437">
        <f aca="true" t="shared" si="70" ref="U200:U211">S200/R200*100</f>
        <v>100</v>
      </c>
      <c r="V200" s="78"/>
      <c r="W200" s="78"/>
      <c r="X200" s="78"/>
      <c r="Y200" s="78"/>
      <c r="Z200" s="78"/>
      <c r="AA200" s="78"/>
      <c r="AB200" s="78"/>
    </row>
    <row r="201" spans="1:28" s="75" customFormat="1" ht="17.25" customHeight="1">
      <c r="A201" s="37" t="s">
        <v>178</v>
      </c>
      <c r="B201" s="37">
        <v>1</v>
      </c>
      <c r="C201" s="37"/>
      <c r="D201" s="37"/>
      <c r="E201" s="37"/>
      <c r="F201" s="37"/>
      <c r="G201" s="37"/>
      <c r="H201" s="37"/>
      <c r="I201" s="37"/>
      <c r="J201" s="72" t="s">
        <v>436</v>
      </c>
      <c r="K201" s="272">
        <v>381</v>
      </c>
      <c r="L201" s="273" t="s">
        <v>12</v>
      </c>
      <c r="M201" s="422">
        <f aca="true" t="shared" si="71" ref="M201:S201">M204+M205+M206+M207</f>
        <v>9792.952418873183</v>
      </c>
      <c r="N201" s="422">
        <f t="shared" si="71"/>
        <v>11281.438715243214</v>
      </c>
      <c r="O201" s="422">
        <f t="shared" si="71"/>
        <v>85000</v>
      </c>
      <c r="P201" s="422">
        <f t="shared" si="71"/>
        <v>11281.438715243214</v>
      </c>
      <c r="Q201" s="422">
        <f t="shared" si="71"/>
        <v>2790.84</v>
      </c>
      <c r="R201" s="422">
        <f t="shared" si="71"/>
        <v>4402.34</v>
      </c>
      <c r="S201" s="422">
        <f t="shared" si="71"/>
        <v>4402.34</v>
      </c>
      <c r="T201" s="437">
        <f t="shared" si="69"/>
        <v>44.95416511486074</v>
      </c>
      <c r="U201" s="437">
        <f t="shared" si="70"/>
        <v>100</v>
      </c>
      <c r="V201" s="78"/>
      <c r="W201" s="78"/>
      <c r="X201" s="78"/>
      <c r="Y201" s="78"/>
      <c r="Z201" s="78"/>
      <c r="AA201" s="78"/>
      <c r="AB201" s="78"/>
    </row>
    <row r="202" spans="1:28" s="75" customFormat="1" ht="1.5" customHeight="1" hidden="1">
      <c r="A202" s="37" t="s">
        <v>178</v>
      </c>
      <c r="B202" s="37">
        <v>1</v>
      </c>
      <c r="C202" s="37"/>
      <c r="D202" s="37"/>
      <c r="E202" s="37"/>
      <c r="F202" s="37"/>
      <c r="G202" s="37"/>
      <c r="H202" s="37"/>
      <c r="I202" s="37"/>
      <c r="J202" s="37">
        <v>1091</v>
      </c>
      <c r="K202" s="42">
        <v>3811</v>
      </c>
      <c r="L202" s="88" t="s">
        <v>89</v>
      </c>
      <c r="M202" s="422"/>
      <c r="N202" s="422"/>
      <c r="O202" s="422"/>
      <c r="P202" s="422"/>
      <c r="Q202" s="422"/>
      <c r="R202" s="422"/>
      <c r="S202" s="422"/>
      <c r="T202" s="437" t="e">
        <f t="shared" si="69"/>
        <v>#DIV/0!</v>
      </c>
      <c r="U202" s="437" t="e">
        <f t="shared" si="70"/>
        <v>#DIV/0!</v>
      </c>
      <c r="V202" s="78"/>
      <c r="W202" s="78"/>
      <c r="X202" s="78"/>
      <c r="Y202" s="78"/>
      <c r="Z202" s="78"/>
      <c r="AA202" s="78"/>
      <c r="AB202" s="78"/>
    </row>
    <row r="203" spans="1:28" s="75" customFormat="1" ht="33" customHeight="1" hidden="1">
      <c r="A203" s="37" t="s">
        <v>178</v>
      </c>
      <c r="B203" s="37">
        <v>1</v>
      </c>
      <c r="C203" s="37"/>
      <c r="D203" s="37"/>
      <c r="E203" s="37"/>
      <c r="F203" s="37"/>
      <c r="G203" s="37"/>
      <c r="H203" s="37"/>
      <c r="I203" s="37"/>
      <c r="J203" s="72" t="s">
        <v>576</v>
      </c>
      <c r="K203" s="42">
        <v>3811</v>
      </c>
      <c r="L203" s="88" t="s">
        <v>298</v>
      </c>
      <c r="M203" s="422"/>
      <c r="N203" s="422"/>
      <c r="O203" s="422"/>
      <c r="P203" s="422"/>
      <c r="Q203" s="422"/>
      <c r="R203" s="422"/>
      <c r="S203" s="422"/>
      <c r="T203" s="437" t="e">
        <f t="shared" si="69"/>
        <v>#DIV/0!</v>
      </c>
      <c r="U203" s="437" t="e">
        <f t="shared" si="70"/>
        <v>#DIV/0!</v>
      </c>
      <c r="V203" s="78"/>
      <c r="W203" s="78"/>
      <c r="X203" s="78"/>
      <c r="Y203" s="78"/>
      <c r="Z203" s="78"/>
      <c r="AA203" s="78"/>
      <c r="AB203" s="78"/>
    </row>
    <row r="204" spans="1:28" s="75" customFormat="1" ht="31.5" customHeight="1">
      <c r="A204" s="37" t="s">
        <v>178</v>
      </c>
      <c r="B204" s="37">
        <v>1</v>
      </c>
      <c r="C204" s="37"/>
      <c r="D204" s="37"/>
      <c r="E204" s="37"/>
      <c r="F204" s="37"/>
      <c r="G204" s="37"/>
      <c r="H204" s="37"/>
      <c r="I204" s="37"/>
      <c r="J204" s="37">
        <v>1092</v>
      </c>
      <c r="K204" s="42">
        <v>3811</v>
      </c>
      <c r="L204" s="333" t="s">
        <v>540</v>
      </c>
      <c r="M204" s="422">
        <f>15000/7.5345</f>
        <v>1990.8421262193906</v>
      </c>
      <c r="N204" s="422">
        <f>15000/7.5345</f>
        <v>1990.8421262193906</v>
      </c>
      <c r="O204" s="422">
        <v>15000</v>
      </c>
      <c r="P204" s="422">
        <f>15000/7.5345</f>
        <v>1990.8421262193906</v>
      </c>
      <c r="Q204" s="422">
        <v>1990.84</v>
      </c>
      <c r="R204" s="422">
        <v>1990.84</v>
      </c>
      <c r="S204" s="422">
        <v>1990.84</v>
      </c>
      <c r="T204" s="437">
        <f t="shared" si="69"/>
        <v>99.99989320000002</v>
      </c>
      <c r="U204" s="437">
        <f t="shared" si="70"/>
        <v>100</v>
      </c>
      <c r="V204" s="78"/>
      <c r="W204" s="78"/>
      <c r="X204" s="78"/>
      <c r="Y204" s="78"/>
      <c r="Z204" s="78"/>
      <c r="AA204" s="78"/>
      <c r="AB204" s="78"/>
    </row>
    <row r="205" spans="1:28" s="75" customFormat="1" ht="28.5" customHeight="1">
      <c r="A205" s="37" t="s">
        <v>178</v>
      </c>
      <c r="B205" s="37">
        <v>1</v>
      </c>
      <c r="C205" s="37"/>
      <c r="D205" s="37"/>
      <c r="E205" s="37"/>
      <c r="F205" s="37"/>
      <c r="G205" s="37"/>
      <c r="H205" s="37"/>
      <c r="I205" s="37"/>
      <c r="J205" s="72" t="s">
        <v>436</v>
      </c>
      <c r="K205" s="42">
        <v>3811</v>
      </c>
      <c r="L205" s="333" t="s">
        <v>152</v>
      </c>
      <c r="M205" s="422">
        <f>45374/7.5345</f>
        <v>6022.164709005242</v>
      </c>
      <c r="N205" s="422">
        <f>50000/7.5345</f>
        <v>6636.140420731303</v>
      </c>
      <c r="O205" s="422">
        <v>50000</v>
      </c>
      <c r="P205" s="422">
        <f>50000/7.5345</f>
        <v>6636.140420731303</v>
      </c>
      <c r="Q205" s="422">
        <v>0</v>
      </c>
      <c r="R205" s="422">
        <v>500</v>
      </c>
      <c r="S205" s="422">
        <v>500</v>
      </c>
      <c r="T205" s="437">
        <f t="shared" si="69"/>
        <v>8.302662317626835</v>
      </c>
      <c r="U205" s="437">
        <f t="shared" si="70"/>
        <v>100</v>
      </c>
      <c r="V205" s="78"/>
      <c r="W205" s="78"/>
      <c r="X205" s="78"/>
      <c r="Y205" s="78"/>
      <c r="Z205" s="78"/>
      <c r="AA205" s="78"/>
      <c r="AB205" s="78"/>
    </row>
    <row r="206" spans="1:28" s="75" customFormat="1" ht="31.5" customHeight="1">
      <c r="A206" s="37" t="s">
        <v>178</v>
      </c>
      <c r="B206" s="37">
        <v>1</v>
      </c>
      <c r="C206" s="37"/>
      <c r="D206" s="37"/>
      <c r="E206" s="37"/>
      <c r="F206" s="37"/>
      <c r="G206" s="37"/>
      <c r="H206" s="37"/>
      <c r="I206" s="37"/>
      <c r="J206" s="72" t="s">
        <v>436</v>
      </c>
      <c r="K206" s="42">
        <v>3811</v>
      </c>
      <c r="L206" s="88" t="s">
        <v>297</v>
      </c>
      <c r="M206" s="422">
        <v>0</v>
      </c>
      <c r="N206" s="422">
        <f>10000/7.5345</f>
        <v>1327.2280841462605</v>
      </c>
      <c r="O206" s="422">
        <v>10000</v>
      </c>
      <c r="P206" s="422">
        <f>10000/7.5345</f>
        <v>1327.2280841462605</v>
      </c>
      <c r="Q206" s="422">
        <v>0</v>
      </c>
      <c r="R206" s="422">
        <v>0</v>
      </c>
      <c r="S206" s="422"/>
      <c r="T206" s="437" t="e">
        <f t="shared" si="69"/>
        <v>#DIV/0!</v>
      </c>
      <c r="U206" s="437" t="e">
        <f t="shared" si="70"/>
        <v>#DIV/0!</v>
      </c>
      <c r="V206" s="78"/>
      <c r="W206" s="78"/>
      <c r="X206" s="78"/>
      <c r="Y206" s="78"/>
      <c r="Z206" s="78"/>
      <c r="AA206" s="78"/>
      <c r="AB206" s="78"/>
    </row>
    <row r="207" spans="1:28" s="75" customFormat="1" ht="31.5" customHeight="1">
      <c r="A207" s="37" t="s">
        <v>178</v>
      </c>
      <c r="B207" s="37">
        <v>1</v>
      </c>
      <c r="C207" s="37"/>
      <c r="D207" s="37"/>
      <c r="E207" s="37"/>
      <c r="F207" s="37"/>
      <c r="G207" s="37"/>
      <c r="H207" s="37"/>
      <c r="I207" s="37"/>
      <c r="J207" s="72" t="s">
        <v>489</v>
      </c>
      <c r="K207" s="42">
        <v>3811</v>
      </c>
      <c r="L207" s="352" t="s">
        <v>605</v>
      </c>
      <c r="M207" s="422">
        <f>13411/7.5345</f>
        <v>1779.94558364855</v>
      </c>
      <c r="N207" s="422">
        <f>10000/7.5345</f>
        <v>1327.2280841462605</v>
      </c>
      <c r="O207" s="422">
        <v>10000</v>
      </c>
      <c r="P207" s="422">
        <f>10000/7.5345</f>
        <v>1327.2280841462605</v>
      </c>
      <c r="Q207" s="422">
        <v>800</v>
      </c>
      <c r="R207" s="422">
        <v>1911.5</v>
      </c>
      <c r="S207" s="422">
        <v>1911.5</v>
      </c>
      <c r="T207" s="437">
        <f t="shared" si="69"/>
        <v>107.39092349563792</v>
      </c>
      <c r="U207" s="437">
        <f t="shared" si="70"/>
        <v>100</v>
      </c>
      <c r="V207" s="78"/>
      <c r="W207" s="78"/>
      <c r="X207" s="78"/>
      <c r="Y207" s="78"/>
      <c r="Z207" s="78"/>
      <c r="AA207" s="78"/>
      <c r="AB207" s="78"/>
    </row>
    <row r="208" spans="1:28" s="75" customFormat="1" ht="28.5" customHeight="1">
      <c r="A208" s="37" t="s">
        <v>178</v>
      </c>
      <c r="B208" s="37">
        <v>1</v>
      </c>
      <c r="C208" s="37"/>
      <c r="D208" s="37"/>
      <c r="E208" s="37"/>
      <c r="F208" s="37"/>
      <c r="G208" s="37"/>
      <c r="H208" s="37"/>
      <c r="I208" s="37"/>
      <c r="J208" s="72" t="s">
        <v>438</v>
      </c>
      <c r="K208" s="35">
        <v>54</v>
      </c>
      <c r="L208" s="517" t="s">
        <v>468</v>
      </c>
      <c r="M208" s="422">
        <f aca="true" t="shared" si="72" ref="M208:S209">M209</f>
        <v>407085.9380184485</v>
      </c>
      <c r="N208" s="422">
        <f t="shared" si="72"/>
        <v>145995.08925608866</v>
      </c>
      <c r="O208" s="422">
        <f t="shared" si="72"/>
        <v>145995.08925608866</v>
      </c>
      <c r="P208" s="422">
        <f t="shared" si="72"/>
        <v>145995.08925608866</v>
      </c>
      <c r="Q208" s="422">
        <f t="shared" si="72"/>
        <v>145995.09</v>
      </c>
      <c r="R208" s="422">
        <f t="shared" si="72"/>
        <v>145995.09</v>
      </c>
      <c r="S208" s="422">
        <f t="shared" si="72"/>
        <v>145995.09</v>
      </c>
      <c r="T208" s="437">
        <f t="shared" si="69"/>
        <v>35.863456917881486</v>
      </c>
      <c r="U208" s="437">
        <f t="shared" si="70"/>
        <v>100</v>
      </c>
      <c r="V208" s="78"/>
      <c r="W208" s="78"/>
      <c r="X208" s="78"/>
      <c r="Y208" s="78"/>
      <c r="Z208" s="78"/>
      <c r="AA208" s="78"/>
      <c r="AB208" s="78"/>
    </row>
    <row r="209" spans="1:28" s="75" customFormat="1" ht="18" customHeight="1">
      <c r="A209" s="37" t="s">
        <v>178</v>
      </c>
      <c r="B209" s="37">
        <v>1</v>
      </c>
      <c r="C209" s="37"/>
      <c r="D209" s="37"/>
      <c r="E209" s="37"/>
      <c r="F209" s="37"/>
      <c r="G209" s="37"/>
      <c r="H209" s="37"/>
      <c r="I209" s="37"/>
      <c r="J209" s="72" t="s">
        <v>438</v>
      </c>
      <c r="K209" s="35">
        <v>544</v>
      </c>
      <c r="L209" s="517" t="s">
        <v>469</v>
      </c>
      <c r="M209" s="422">
        <f t="shared" si="72"/>
        <v>407085.9380184485</v>
      </c>
      <c r="N209" s="422">
        <f t="shared" si="72"/>
        <v>145995.08925608866</v>
      </c>
      <c r="O209" s="422">
        <f t="shared" si="72"/>
        <v>145995.08925608866</v>
      </c>
      <c r="P209" s="422">
        <f t="shared" si="72"/>
        <v>145995.08925608866</v>
      </c>
      <c r="Q209" s="422">
        <f t="shared" si="72"/>
        <v>145995.09</v>
      </c>
      <c r="R209" s="422">
        <f t="shared" si="72"/>
        <v>145995.09</v>
      </c>
      <c r="S209" s="422">
        <f t="shared" si="72"/>
        <v>145995.09</v>
      </c>
      <c r="T209" s="437">
        <f t="shared" si="69"/>
        <v>35.863456917881486</v>
      </c>
      <c r="U209" s="437">
        <f t="shared" si="70"/>
        <v>100</v>
      </c>
      <c r="V209" s="78"/>
      <c r="W209" s="78"/>
      <c r="X209" s="78"/>
      <c r="Y209" s="78"/>
      <c r="Z209" s="78"/>
      <c r="AA209" s="78"/>
      <c r="AB209" s="78"/>
    </row>
    <row r="210" spans="1:28" s="75" customFormat="1" ht="25.5" customHeight="1">
      <c r="A210" s="37" t="s">
        <v>178</v>
      </c>
      <c r="B210" s="37">
        <v>1</v>
      </c>
      <c r="C210" s="37"/>
      <c r="D210" s="37"/>
      <c r="E210" s="37"/>
      <c r="F210" s="37"/>
      <c r="G210" s="37"/>
      <c r="H210" s="37"/>
      <c r="I210" s="37"/>
      <c r="J210" s="72" t="s">
        <v>438</v>
      </c>
      <c r="K210" s="90">
        <v>54431</v>
      </c>
      <c r="L210" s="380" t="s">
        <v>422</v>
      </c>
      <c r="M210" s="423">
        <f>3067189/7.5345</f>
        <v>407085.9380184485</v>
      </c>
      <c r="N210" s="423">
        <f>1100000/7.5345</f>
        <v>145995.08925608866</v>
      </c>
      <c r="O210" s="423">
        <f>1100000/7.5345</f>
        <v>145995.08925608866</v>
      </c>
      <c r="P210" s="423">
        <f>1100000/7.5345</f>
        <v>145995.08925608866</v>
      </c>
      <c r="Q210" s="423">
        <v>145995.09</v>
      </c>
      <c r="R210" s="423">
        <v>145995.09</v>
      </c>
      <c r="S210" s="423">
        <v>145995.09</v>
      </c>
      <c r="T210" s="437">
        <f t="shared" si="69"/>
        <v>35.863456917881486</v>
      </c>
      <c r="U210" s="437">
        <f t="shared" si="70"/>
        <v>100</v>
      </c>
      <c r="V210" s="78"/>
      <c r="W210" s="78"/>
      <c r="X210" s="78"/>
      <c r="Y210" s="78"/>
      <c r="Z210" s="78"/>
      <c r="AA210" s="78"/>
      <c r="AB210" s="78"/>
    </row>
    <row r="211" spans="1:36" s="128" customFormat="1" ht="15.75">
      <c r="A211" s="125"/>
      <c r="B211" s="125"/>
      <c r="C211" s="125"/>
      <c r="D211" s="125"/>
      <c r="E211" s="125"/>
      <c r="F211" s="125"/>
      <c r="G211" s="125"/>
      <c r="H211" s="125"/>
      <c r="I211" s="125"/>
      <c r="J211" s="125"/>
      <c r="K211" s="126"/>
      <c r="L211" s="127" t="s">
        <v>86</v>
      </c>
      <c r="M211" s="421">
        <f aca="true" t="shared" si="73" ref="M211:S211">M135+M208</f>
        <v>720600.836153693</v>
      </c>
      <c r="N211" s="421">
        <f t="shared" si="73"/>
        <v>448750.2475280377</v>
      </c>
      <c r="O211" s="421">
        <f t="shared" si="73"/>
        <v>2273594.8990682857</v>
      </c>
      <c r="P211" s="421">
        <f t="shared" si="73"/>
        <v>448750.2475280377</v>
      </c>
      <c r="Q211" s="421">
        <f t="shared" si="73"/>
        <v>309867.98</v>
      </c>
      <c r="R211" s="421">
        <f t="shared" si="73"/>
        <v>475041.65</v>
      </c>
      <c r="S211" s="421">
        <f t="shared" si="73"/>
        <v>484477.9800000001</v>
      </c>
      <c r="T211" s="421">
        <f t="shared" si="69"/>
        <v>67.23250316860143</v>
      </c>
      <c r="U211" s="421">
        <f t="shared" si="70"/>
        <v>101.98642161166292</v>
      </c>
      <c r="V211" s="78"/>
      <c r="W211" s="78"/>
      <c r="X211" s="78"/>
      <c r="Y211" s="78"/>
      <c r="Z211" s="78"/>
      <c r="AA211" s="78"/>
      <c r="AB211" s="78"/>
      <c r="AC211" s="75"/>
      <c r="AD211" s="75"/>
      <c r="AE211" s="75"/>
      <c r="AF211" s="75"/>
      <c r="AG211" s="75"/>
      <c r="AH211" s="75"/>
      <c r="AI211" s="75"/>
      <c r="AJ211" s="75"/>
    </row>
    <row r="212" spans="1:21" s="78" customFormat="1" ht="15.75">
      <c r="A212" s="65"/>
      <c r="B212" s="65"/>
      <c r="C212" s="65"/>
      <c r="D212" s="65"/>
      <c r="E212" s="65"/>
      <c r="F212" s="65"/>
      <c r="G212" s="65"/>
      <c r="H212" s="65"/>
      <c r="I212" s="65"/>
      <c r="J212" s="65"/>
      <c r="K212" s="165"/>
      <c r="L212" s="222"/>
      <c r="M212" s="453"/>
      <c r="N212" s="453"/>
      <c r="O212" s="453"/>
      <c r="P212" s="453"/>
      <c r="Q212" s="453"/>
      <c r="R212" s="453"/>
      <c r="S212" s="453"/>
      <c r="T212" s="453"/>
      <c r="U212" s="453"/>
    </row>
    <row r="213" spans="1:36" s="212" customFormat="1" ht="15.75" customHeight="1">
      <c r="A213" s="79" t="s">
        <v>180</v>
      </c>
      <c r="B213" s="79"/>
      <c r="C213" s="79"/>
      <c r="D213" s="79"/>
      <c r="E213" s="79"/>
      <c r="F213" s="79"/>
      <c r="G213" s="79"/>
      <c r="H213" s="79"/>
      <c r="I213" s="79"/>
      <c r="J213" s="79"/>
      <c r="K213" s="41" t="s">
        <v>184</v>
      </c>
      <c r="L213" s="616" t="s">
        <v>351</v>
      </c>
      <c r="M213" s="430"/>
      <c r="N213" s="430"/>
      <c r="O213" s="430"/>
      <c r="P213" s="430"/>
      <c r="Q213" s="430"/>
      <c r="R213" s="430"/>
      <c r="S213" s="430"/>
      <c r="T213" s="430"/>
      <c r="U213" s="430"/>
      <c r="V213" s="78"/>
      <c r="W213" s="78"/>
      <c r="X213" s="78"/>
      <c r="Y213" s="78"/>
      <c r="Z213" s="78"/>
      <c r="AA213" s="78"/>
      <c r="AB213" s="78"/>
      <c r="AC213" s="78"/>
      <c r="AD213" s="78"/>
      <c r="AE213" s="78"/>
      <c r="AF213" s="78"/>
      <c r="AG213" s="78"/>
      <c r="AH213" s="78"/>
      <c r="AI213" s="78"/>
      <c r="AJ213" s="78"/>
    </row>
    <row r="214" spans="1:36" s="212" customFormat="1" ht="20.25" customHeight="1">
      <c r="A214" s="79" t="s">
        <v>181</v>
      </c>
      <c r="B214" s="79"/>
      <c r="C214" s="79"/>
      <c r="D214" s="79"/>
      <c r="E214" s="79"/>
      <c r="F214" s="79"/>
      <c r="G214" s="79"/>
      <c r="H214" s="79"/>
      <c r="I214" s="79"/>
      <c r="J214" s="79"/>
      <c r="K214" s="41" t="s">
        <v>185</v>
      </c>
      <c r="L214" s="616"/>
      <c r="M214" s="430"/>
      <c r="N214" s="430"/>
      <c r="O214" s="430"/>
      <c r="P214" s="430"/>
      <c r="Q214" s="430"/>
      <c r="R214" s="430"/>
      <c r="S214" s="430"/>
      <c r="T214" s="430"/>
      <c r="U214" s="430"/>
      <c r="V214" s="78"/>
      <c r="W214" s="78"/>
      <c r="X214" s="78"/>
      <c r="Y214" s="78"/>
      <c r="Z214" s="78"/>
      <c r="AA214" s="78"/>
      <c r="AB214" s="78"/>
      <c r="AC214" s="78"/>
      <c r="AD214" s="78"/>
      <c r="AE214" s="78"/>
      <c r="AF214" s="78"/>
      <c r="AG214" s="78"/>
      <c r="AH214" s="78"/>
      <c r="AI214" s="78"/>
      <c r="AJ214" s="78"/>
    </row>
    <row r="215" spans="1:28" s="75" customFormat="1" ht="15.75">
      <c r="A215" s="37" t="s">
        <v>181</v>
      </c>
      <c r="B215" s="37">
        <v>1</v>
      </c>
      <c r="C215" s="37"/>
      <c r="D215" s="37">
        <v>3</v>
      </c>
      <c r="E215" s="37"/>
      <c r="F215" s="37"/>
      <c r="G215" s="37"/>
      <c r="H215" s="37"/>
      <c r="I215" s="37"/>
      <c r="J215" s="37">
        <v>112</v>
      </c>
      <c r="K215" s="272">
        <v>3</v>
      </c>
      <c r="L215" s="273" t="s">
        <v>0</v>
      </c>
      <c r="M215" s="422">
        <f aca="true" t="shared" si="74" ref="M215:S216">M216</f>
        <v>0</v>
      </c>
      <c r="N215" s="422">
        <f t="shared" si="74"/>
        <v>3052.624593536399</v>
      </c>
      <c r="O215" s="437">
        <f t="shared" si="74"/>
        <v>23000</v>
      </c>
      <c r="P215" s="437">
        <f t="shared" si="74"/>
        <v>3052.624593536399</v>
      </c>
      <c r="Q215" s="437">
        <f t="shared" si="74"/>
        <v>0</v>
      </c>
      <c r="R215" s="437">
        <f t="shared" si="74"/>
        <v>0</v>
      </c>
      <c r="S215" s="437">
        <f t="shared" si="74"/>
        <v>0</v>
      </c>
      <c r="T215" s="437" t="e">
        <f>S215/M215*100</f>
        <v>#DIV/0!</v>
      </c>
      <c r="U215" s="437" t="e">
        <f>S215/R215*100</f>
        <v>#DIV/0!</v>
      </c>
      <c r="V215" s="78"/>
      <c r="W215" s="78"/>
      <c r="X215" s="78"/>
      <c r="Y215" s="78"/>
      <c r="Z215" s="78"/>
      <c r="AA215" s="78"/>
      <c r="AB215" s="78"/>
    </row>
    <row r="216" spans="1:28" s="75" customFormat="1" ht="15.75">
      <c r="A216" s="37" t="s">
        <v>181</v>
      </c>
      <c r="B216" s="37">
        <v>1</v>
      </c>
      <c r="C216" s="37"/>
      <c r="D216" s="37">
        <v>3</v>
      </c>
      <c r="E216" s="37"/>
      <c r="F216" s="37"/>
      <c r="G216" s="37"/>
      <c r="H216" s="37"/>
      <c r="I216" s="37"/>
      <c r="J216" s="37">
        <v>112</v>
      </c>
      <c r="K216" s="319">
        <v>32</v>
      </c>
      <c r="L216" s="320" t="s">
        <v>5</v>
      </c>
      <c r="M216" s="422">
        <f t="shared" si="74"/>
        <v>0</v>
      </c>
      <c r="N216" s="422">
        <f t="shared" si="74"/>
        <v>3052.624593536399</v>
      </c>
      <c r="O216" s="437">
        <f t="shared" si="74"/>
        <v>23000</v>
      </c>
      <c r="P216" s="437">
        <f t="shared" si="74"/>
        <v>3052.624593536399</v>
      </c>
      <c r="Q216" s="437">
        <f t="shared" si="74"/>
        <v>0</v>
      </c>
      <c r="R216" s="437">
        <f t="shared" si="74"/>
        <v>0</v>
      </c>
      <c r="S216" s="437">
        <f t="shared" si="74"/>
        <v>0</v>
      </c>
      <c r="T216" s="437" t="e">
        <f aca="true" t="shared" si="75" ref="T216:T225">S216/M216*100</f>
        <v>#DIV/0!</v>
      </c>
      <c r="U216" s="437" t="e">
        <f aca="true" t="shared" si="76" ref="U216:U225">S216/R216*100</f>
        <v>#DIV/0!</v>
      </c>
      <c r="V216" s="78"/>
      <c r="W216" s="78"/>
      <c r="X216" s="78"/>
      <c r="Y216" s="78"/>
      <c r="Z216" s="78"/>
      <c r="AA216" s="78"/>
      <c r="AB216" s="78"/>
    </row>
    <row r="217" spans="1:28" s="75" customFormat="1" ht="26.25" customHeight="1">
      <c r="A217" s="37" t="s">
        <v>181</v>
      </c>
      <c r="B217" s="37">
        <v>1</v>
      </c>
      <c r="C217" s="37"/>
      <c r="D217" s="37">
        <v>3</v>
      </c>
      <c r="E217" s="37"/>
      <c r="F217" s="37"/>
      <c r="G217" s="37"/>
      <c r="H217" s="37"/>
      <c r="I217" s="37"/>
      <c r="J217" s="37">
        <v>112</v>
      </c>
      <c r="K217" s="272">
        <v>323</v>
      </c>
      <c r="L217" s="273" t="s">
        <v>7</v>
      </c>
      <c r="M217" s="422">
        <f aca="true" t="shared" si="77" ref="M217:S217">M219+M218</f>
        <v>0</v>
      </c>
      <c r="N217" s="422">
        <f t="shared" si="77"/>
        <v>3052.624593536399</v>
      </c>
      <c r="O217" s="437">
        <f t="shared" si="77"/>
        <v>23000</v>
      </c>
      <c r="P217" s="437">
        <f t="shared" si="77"/>
        <v>3052.624593536399</v>
      </c>
      <c r="Q217" s="437">
        <f t="shared" si="77"/>
        <v>0</v>
      </c>
      <c r="R217" s="437">
        <f t="shared" si="77"/>
        <v>0</v>
      </c>
      <c r="S217" s="437">
        <f t="shared" si="77"/>
        <v>0</v>
      </c>
      <c r="T217" s="437" t="e">
        <f t="shared" si="75"/>
        <v>#DIV/0!</v>
      </c>
      <c r="U217" s="437" t="e">
        <f t="shared" si="76"/>
        <v>#DIV/0!</v>
      </c>
      <c r="V217" s="78"/>
      <c r="W217" s="78"/>
      <c r="X217" s="78"/>
      <c r="Y217" s="78"/>
      <c r="Z217" s="78"/>
      <c r="AA217" s="78"/>
      <c r="AB217" s="78"/>
    </row>
    <row r="218" spans="1:28" s="75" customFormat="1" ht="30" customHeight="1">
      <c r="A218" s="37" t="s">
        <v>181</v>
      </c>
      <c r="B218" s="37">
        <v>1</v>
      </c>
      <c r="C218" s="37"/>
      <c r="D218" s="37">
        <v>3</v>
      </c>
      <c r="E218" s="37"/>
      <c r="F218" s="37"/>
      <c r="G218" s="37"/>
      <c r="H218" s="37"/>
      <c r="I218" s="37"/>
      <c r="J218" s="37">
        <v>112</v>
      </c>
      <c r="K218" s="35">
        <v>3232</v>
      </c>
      <c r="L218" s="352" t="s">
        <v>375</v>
      </c>
      <c r="M218" s="422">
        <v>0</v>
      </c>
      <c r="N218" s="422">
        <f>20000/7.5345</f>
        <v>2654.456168292521</v>
      </c>
      <c r="O218" s="422">
        <v>20000</v>
      </c>
      <c r="P218" s="422">
        <f>20000/7.5345</f>
        <v>2654.456168292521</v>
      </c>
      <c r="Q218" s="422">
        <v>0</v>
      </c>
      <c r="R218" s="422"/>
      <c r="S218" s="422"/>
      <c r="T218" s="437" t="e">
        <f t="shared" si="75"/>
        <v>#DIV/0!</v>
      </c>
      <c r="U218" s="437" t="e">
        <f t="shared" si="76"/>
        <v>#DIV/0!</v>
      </c>
      <c r="V218" s="78"/>
      <c r="W218" s="78"/>
      <c r="X218" s="78"/>
      <c r="Y218" s="78"/>
      <c r="Z218" s="78"/>
      <c r="AA218" s="78"/>
      <c r="AB218" s="78"/>
    </row>
    <row r="219" spans="1:28" s="75" customFormat="1" ht="23.25" customHeight="1">
      <c r="A219" s="37" t="s">
        <v>181</v>
      </c>
      <c r="B219" s="37">
        <v>1</v>
      </c>
      <c r="C219" s="37"/>
      <c r="D219" s="37">
        <v>3</v>
      </c>
      <c r="E219" s="37"/>
      <c r="F219" s="37"/>
      <c r="G219" s="37"/>
      <c r="H219" s="37"/>
      <c r="I219" s="37"/>
      <c r="J219" s="37">
        <v>112</v>
      </c>
      <c r="K219" s="90">
        <v>3232</v>
      </c>
      <c r="L219" s="380" t="s">
        <v>555</v>
      </c>
      <c r="M219" s="423">
        <v>0</v>
      </c>
      <c r="N219" s="423">
        <f>3000/7.5345</f>
        <v>398.1684252438781</v>
      </c>
      <c r="O219" s="423">
        <v>3000</v>
      </c>
      <c r="P219" s="423">
        <f>3000/7.5345</f>
        <v>398.1684252438781</v>
      </c>
      <c r="Q219" s="423">
        <v>0</v>
      </c>
      <c r="R219" s="423"/>
      <c r="S219" s="423"/>
      <c r="T219" s="437" t="e">
        <f t="shared" si="75"/>
        <v>#DIV/0!</v>
      </c>
      <c r="U219" s="437" t="e">
        <f t="shared" si="76"/>
        <v>#DIV/0!</v>
      </c>
      <c r="V219" s="78"/>
      <c r="W219" s="78"/>
      <c r="X219" s="78"/>
      <c r="Y219" s="78"/>
      <c r="Z219" s="78"/>
      <c r="AA219" s="78"/>
      <c r="AB219" s="78"/>
    </row>
    <row r="220" spans="1:28" s="75" customFormat="1" ht="21" customHeight="1">
      <c r="A220" s="37" t="s">
        <v>181</v>
      </c>
      <c r="B220" s="37">
        <v>1</v>
      </c>
      <c r="C220" s="37"/>
      <c r="D220" s="37">
        <v>3</v>
      </c>
      <c r="E220" s="37"/>
      <c r="F220" s="37"/>
      <c r="G220" s="37"/>
      <c r="H220" s="37"/>
      <c r="I220" s="37"/>
      <c r="J220" s="37">
        <v>620</v>
      </c>
      <c r="K220" s="283">
        <v>4</v>
      </c>
      <c r="L220" s="341" t="s">
        <v>378</v>
      </c>
      <c r="M220" s="423">
        <f aca="true" t="shared" si="78" ref="M220:S221">M221</f>
        <v>0</v>
      </c>
      <c r="N220" s="423">
        <f t="shared" si="78"/>
        <v>1990.8421262193906</v>
      </c>
      <c r="O220" s="438">
        <f t="shared" si="78"/>
        <v>15000</v>
      </c>
      <c r="P220" s="438">
        <f t="shared" si="78"/>
        <v>1990.8421262193906</v>
      </c>
      <c r="Q220" s="438">
        <f t="shared" si="78"/>
        <v>0</v>
      </c>
      <c r="R220" s="438">
        <f t="shared" si="78"/>
        <v>0</v>
      </c>
      <c r="S220" s="438">
        <f t="shared" si="78"/>
        <v>0</v>
      </c>
      <c r="T220" s="437" t="e">
        <f t="shared" si="75"/>
        <v>#DIV/0!</v>
      </c>
      <c r="U220" s="437" t="e">
        <f t="shared" si="76"/>
        <v>#DIV/0!</v>
      </c>
      <c r="V220" s="78"/>
      <c r="W220" s="78"/>
      <c r="X220" s="78"/>
      <c r="Y220" s="78"/>
      <c r="Z220" s="78"/>
      <c r="AA220" s="78"/>
      <c r="AB220" s="78"/>
    </row>
    <row r="221" spans="1:28" s="75" customFormat="1" ht="16.5" customHeight="1">
      <c r="A221" s="37" t="s">
        <v>181</v>
      </c>
      <c r="B221" s="37">
        <v>1</v>
      </c>
      <c r="C221" s="37"/>
      <c r="D221" s="37">
        <v>3</v>
      </c>
      <c r="E221" s="37"/>
      <c r="F221" s="37"/>
      <c r="G221" s="37"/>
      <c r="H221" s="37"/>
      <c r="I221" s="37"/>
      <c r="J221" s="37">
        <v>620</v>
      </c>
      <c r="K221" s="283">
        <v>45</v>
      </c>
      <c r="L221" s="353" t="s">
        <v>379</v>
      </c>
      <c r="M221" s="423">
        <f t="shared" si="78"/>
        <v>0</v>
      </c>
      <c r="N221" s="423">
        <f t="shared" si="78"/>
        <v>1990.8421262193906</v>
      </c>
      <c r="O221" s="438">
        <f t="shared" si="78"/>
        <v>15000</v>
      </c>
      <c r="P221" s="438">
        <f t="shared" si="78"/>
        <v>1990.8421262193906</v>
      </c>
      <c r="Q221" s="438">
        <f t="shared" si="78"/>
        <v>0</v>
      </c>
      <c r="R221" s="438">
        <f t="shared" si="78"/>
        <v>0</v>
      </c>
      <c r="S221" s="438">
        <f t="shared" si="78"/>
        <v>0</v>
      </c>
      <c r="T221" s="437" t="e">
        <f t="shared" si="75"/>
        <v>#DIV/0!</v>
      </c>
      <c r="U221" s="437" t="e">
        <f t="shared" si="76"/>
        <v>#DIV/0!</v>
      </c>
      <c r="V221" s="78"/>
      <c r="W221" s="78"/>
      <c r="X221" s="78"/>
      <c r="Y221" s="78"/>
      <c r="Z221" s="78"/>
      <c r="AA221" s="78"/>
      <c r="AB221" s="78"/>
    </row>
    <row r="222" spans="1:28" s="75" customFormat="1" ht="20.25" customHeight="1">
      <c r="A222" s="37" t="s">
        <v>181</v>
      </c>
      <c r="B222" s="37">
        <v>1</v>
      </c>
      <c r="C222" s="37"/>
      <c r="D222" s="37">
        <v>3</v>
      </c>
      <c r="E222" s="37"/>
      <c r="F222" s="37"/>
      <c r="G222" s="37"/>
      <c r="H222" s="37"/>
      <c r="I222" s="37"/>
      <c r="J222" s="37">
        <v>620</v>
      </c>
      <c r="K222" s="283">
        <v>451</v>
      </c>
      <c r="L222" s="353" t="s">
        <v>379</v>
      </c>
      <c r="M222" s="423">
        <f aca="true" t="shared" si="79" ref="M222:S222">M223+M224</f>
        <v>0</v>
      </c>
      <c r="N222" s="423">
        <f t="shared" si="79"/>
        <v>1990.8421262193906</v>
      </c>
      <c r="O222" s="438">
        <f t="shared" si="79"/>
        <v>15000</v>
      </c>
      <c r="P222" s="438">
        <f t="shared" si="79"/>
        <v>1990.8421262193906</v>
      </c>
      <c r="Q222" s="438">
        <f t="shared" si="79"/>
        <v>0</v>
      </c>
      <c r="R222" s="438">
        <f t="shared" si="79"/>
        <v>0</v>
      </c>
      <c r="S222" s="438">
        <f t="shared" si="79"/>
        <v>0</v>
      </c>
      <c r="T222" s="437" t="e">
        <f t="shared" si="75"/>
        <v>#DIV/0!</v>
      </c>
      <c r="U222" s="437" t="e">
        <f t="shared" si="76"/>
        <v>#DIV/0!</v>
      </c>
      <c r="V222" s="78"/>
      <c r="W222" s="78"/>
      <c r="X222" s="78"/>
      <c r="Y222" s="78"/>
      <c r="Z222" s="78"/>
      <c r="AA222" s="78"/>
      <c r="AB222" s="78"/>
    </row>
    <row r="223" spans="1:28" s="75" customFormat="1" ht="19.5" customHeight="1">
      <c r="A223" s="37" t="s">
        <v>181</v>
      </c>
      <c r="B223" s="37">
        <v>1</v>
      </c>
      <c r="C223" s="37"/>
      <c r="D223" s="37">
        <v>3</v>
      </c>
      <c r="E223" s="37"/>
      <c r="F223" s="37"/>
      <c r="G223" s="37"/>
      <c r="H223" s="37"/>
      <c r="I223" s="37"/>
      <c r="J223" s="37">
        <v>620</v>
      </c>
      <c r="K223" s="90">
        <v>4511</v>
      </c>
      <c r="L223" s="352" t="s">
        <v>379</v>
      </c>
      <c r="M223" s="423">
        <v>0</v>
      </c>
      <c r="N223" s="423">
        <f>15000/7.5345</f>
        <v>1990.8421262193906</v>
      </c>
      <c r="O223" s="423">
        <v>15000</v>
      </c>
      <c r="P223" s="423">
        <f>15000/7.5345</f>
        <v>1990.8421262193906</v>
      </c>
      <c r="Q223" s="423">
        <v>0</v>
      </c>
      <c r="R223" s="423"/>
      <c r="S223" s="423"/>
      <c r="T223" s="437" t="e">
        <f t="shared" si="75"/>
        <v>#DIV/0!</v>
      </c>
      <c r="U223" s="437" t="e">
        <f t="shared" si="76"/>
        <v>#DIV/0!</v>
      </c>
      <c r="V223" s="78"/>
      <c r="W223" s="78"/>
      <c r="X223" s="78"/>
      <c r="Y223" s="78"/>
      <c r="Z223" s="78"/>
      <c r="AA223" s="78"/>
      <c r="AB223" s="78"/>
    </row>
    <row r="224" spans="1:28" s="75" customFormat="1" ht="36" customHeight="1">
      <c r="A224" s="37" t="s">
        <v>183</v>
      </c>
      <c r="B224" s="37">
        <v>1</v>
      </c>
      <c r="C224" s="37"/>
      <c r="D224" s="37">
        <v>3</v>
      </c>
      <c r="E224" s="37"/>
      <c r="F224" s="37"/>
      <c r="G224" s="37"/>
      <c r="H224" s="37"/>
      <c r="I224" s="37"/>
      <c r="J224" s="37">
        <v>620</v>
      </c>
      <c r="K224" s="90">
        <v>4511</v>
      </c>
      <c r="L224" s="352" t="s">
        <v>506</v>
      </c>
      <c r="M224" s="423">
        <v>0</v>
      </c>
      <c r="N224" s="423">
        <v>0</v>
      </c>
      <c r="O224" s="423">
        <v>0</v>
      </c>
      <c r="P224" s="423">
        <v>0</v>
      </c>
      <c r="Q224" s="423">
        <v>0</v>
      </c>
      <c r="R224" s="423"/>
      <c r="S224" s="423"/>
      <c r="T224" s="437" t="e">
        <f t="shared" si="75"/>
        <v>#DIV/0!</v>
      </c>
      <c r="U224" s="437" t="e">
        <f t="shared" si="76"/>
        <v>#DIV/0!</v>
      </c>
      <c r="V224" s="78"/>
      <c r="W224" s="78"/>
      <c r="X224" s="78"/>
      <c r="Y224" s="78"/>
      <c r="Z224" s="78"/>
      <c r="AA224" s="78"/>
      <c r="AB224" s="78"/>
    </row>
    <row r="225" spans="1:36" s="128" customFormat="1" ht="20.25" customHeight="1">
      <c r="A225" s="125"/>
      <c r="B225" s="125"/>
      <c r="C225" s="125"/>
      <c r="D225" s="125"/>
      <c r="E225" s="125"/>
      <c r="F225" s="125"/>
      <c r="G225" s="125"/>
      <c r="H225" s="125"/>
      <c r="I225" s="125"/>
      <c r="J225" s="125"/>
      <c r="K225" s="140"/>
      <c r="L225" s="366" t="s">
        <v>137</v>
      </c>
      <c r="M225" s="421">
        <f aca="true" t="shared" si="80" ref="M225:S225">M215+M220</f>
        <v>0</v>
      </c>
      <c r="N225" s="421">
        <f t="shared" si="80"/>
        <v>5043.46671975579</v>
      </c>
      <c r="O225" s="421">
        <f t="shared" si="80"/>
        <v>38000</v>
      </c>
      <c r="P225" s="421">
        <f t="shared" si="80"/>
        <v>5043.46671975579</v>
      </c>
      <c r="Q225" s="421">
        <f t="shared" si="80"/>
        <v>0</v>
      </c>
      <c r="R225" s="421">
        <f t="shared" si="80"/>
        <v>0</v>
      </c>
      <c r="S225" s="421">
        <f t="shared" si="80"/>
        <v>0</v>
      </c>
      <c r="T225" s="421" t="e">
        <f t="shared" si="75"/>
        <v>#DIV/0!</v>
      </c>
      <c r="U225" s="421" t="e">
        <f t="shared" si="76"/>
        <v>#DIV/0!</v>
      </c>
      <c r="V225" s="78"/>
      <c r="W225" s="78"/>
      <c r="X225" s="78"/>
      <c r="Y225" s="78"/>
      <c r="Z225" s="78"/>
      <c r="AA225" s="78"/>
      <c r="AB225" s="78"/>
      <c r="AC225" s="75"/>
      <c r="AD225" s="75"/>
      <c r="AE225" s="75"/>
      <c r="AF225" s="75"/>
      <c r="AG225" s="75"/>
      <c r="AH225" s="75"/>
      <c r="AI225" s="75"/>
      <c r="AJ225" s="75"/>
    </row>
    <row r="226" spans="1:21" s="78" customFormat="1" ht="15.75" customHeight="1">
      <c r="A226" s="65"/>
      <c r="B226" s="65"/>
      <c r="C226" s="65"/>
      <c r="D226" s="65"/>
      <c r="E226" s="65"/>
      <c r="F226" s="65"/>
      <c r="G226" s="65"/>
      <c r="H226" s="65"/>
      <c r="I226" s="65"/>
      <c r="J226" s="65"/>
      <c r="K226" s="65"/>
      <c r="L226" s="76"/>
      <c r="M226" s="453"/>
      <c r="N226" s="453"/>
      <c r="O226" s="453"/>
      <c r="P226" s="453"/>
      <c r="Q226" s="453"/>
      <c r="R226" s="453"/>
      <c r="S226" s="453"/>
      <c r="T226" s="453"/>
      <c r="U226" s="453"/>
    </row>
    <row r="227" spans="1:36" s="212" customFormat="1" ht="35.25" customHeight="1">
      <c r="A227" s="185" t="s">
        <v>180</v>
      </c>
      <c r="B227" s="79"/>
      <c r="C227" s="79"/>
      <c r="D227" s="79"/>
      <c r="E227" s="79"/>
      <c r="F227" s="79"/>
      <c r="G227" s="79"/>
      <c r="H227" s="79"/>
      <c r="I227" s="79"/>
      <c r="J227" s="79">
        <v>112</v>
      </c>
      <c r="K227" s="41" t="s">
        <v>25</v>
      </c>
      <c r="L227" s="342" t="s">
        <v>480</v>
      </c>
      <c r="M227" s="430"/>
      <c r="N227" s="430"/>
      <c r="O227" s="430"/>
      <c r="P227" s="430"/>
      <c r="Q227" s="430"/>
      <c r="R227" s="430"/>
      <c r="S227" s="430"/>
      <c r="T227" s="430"/>
      <c r="U227" s="430"/>
      <c r="V227" s="78"/>
      <c r="W227" s="78"/>
      <c r="X227" s="78"/>
      <c r="Y227" s="78"/>
      <c r="Z227" s="78"/>
      <c r="AA227" s="78"/>
      <c r="AB227" s="78"/>
      <c r="AC227" s="78"/>
      <c r="AD227" s="78"/>
      <c r="AE227" s="78"/>
      <c r="AF227" s="78"/>
      <c r="AG227" s="78"/>
      <c r="AH227" s="78"/>
      <c r="AI227" s="78"/>
      <c r="AJ227" s="78"/>
    </row>
    <row r="228" spans="1:28" s="75" customFormat="1" ht="15.75">
      <c r="A228" s="37" t="s">
        <v>183</v>
      </c>
      <c r="B228" s="37">
        <v>1</v>
      </c>
      <c r="C228" s="37"/>
      <c r="D228" s="37">
        <v>3</v>
      </c>
      <c r="E228" s="37"/>
      <c r="F228" s="37"/>
      <c r="G228" s="37"/>
      <c r="H228" s="37"/>
      <c r="I228" s="37"/>
      <c r="J228" s="37">
        <v>112</v>
      </c>
      <c r="K228" s="272">
        <v>3</v>
      </c>
      <c r="L228" s="273" t="s">
        <v>0</v>
      </c>
      <c r="M228" s="422">
        <f aca="true" t="shared" si="81" ref="M228:S230">M229</f>
        <v>0</v>
      </c>
      <c r="N228" s="422">
        <f t="shared" si="81"/>
        <v>2654.456168292521</v>
      </c>
      <c r="O228" s="437">
        <f t="shared" si="81"/>
        <v>20000</v>
      </c>
      <c r="P228" s="437">
        <f t="shared" si="81"/>
        <v>2654.456168292521</v>
      </c>
      <c r="Q228" s="437">
        <f t="shared" si="81"/>
        <v>0</v>
      </c>
      <c r="R228" s="437">
        <f t="shared" si="81"/>
        <v>0</v>
      </c>
      <c r="S228" s="437">
        <f t="shared" si="81"/>
        <v>0</v>
      </c>
      <c r="T228" s="437" t="e">
        <f>S228/M228*100</f>
        <v>#DIV/0!</v>
      </c>
      <c r="U228" s="437" t="e">
        <f>S228/R228*100</f>
        <v>#DIV/0!</v>
      </c>
      <c r="V228" s="78"/>
      <c r="W228" s="78"/>
      <c r="X228" s="78"/>
      <c r="Y228" s="78"/>
      <c r="Z228" s="78"/>
      <c r="AA228" s="78"/>
      <c r="AB228" s="78"/>
    </row>
    <row r="229" spans="1:28" s="75" customFormat="1" ht="21" customHeight="1">
      <c r="A229" s="37" t="s">
        <v>183</v>
      </c>
      <c r="B229" s="37">
        <v>1</v>
      </c>
      <c r="C229" s="37"/>
      <c r="D229" s="37">
        <v>3</v>
      </c>
      <c r="E229" s="37"/>
      <c r="F229" s="37"/>
      <c r="G229" s="37"/>
      <c r="H229" s="37"/>
      <c r="I229" s="37"/>
      <c r="J229" s="37">
        <v>112</v>
      </c>
      <c r="K229" s="272">
        <v>38</v>
      </c>
      <c r="L229" s="278" t="s">
        <v>82</v>
      </c>
      <c r="M229" s="422">
        <f t="shared" si="81"/>
        <v>0</v>
      </c>
      <c r="N229" s="422">
        <f t="shared" si="81"/>
        <v>2654.456168292521</v>
      </c>
      <c r="O229" s="437">
        <f t="shared" si="81"/>
        <v>20000</v>
      </c>
      <c r="P229" s="437">
        <f t="shared" si="81"/>
        <v>2654.456168292521</v>
      </c>
      <c r="Q229" s="437">
        <f t="shared" si="81"/>
        <v>0</v>
      </c>
      <c r="R229" s="437">
        <f t="shared" si="81"/>
        <v>0</v>
      </c>
      <c r="S229" s="437">
        <f t="shared" si="81"/>
        <v>0</v>
      </c>
      <c r="T229" s="437" t="e">
        <f>S229/M229*100</f>
        <v>#DIV/0!</v>
      </c>
      <c r="U229" s="437" t="e">
        <f>S229/R229*100</f>
        <v>#DIV/0!</v>
      </c>
      <c r="V229" s="78"/>
      <c r="W229" s="78"/>
      <c r="X229" s="78"/>
      <c r="Y229" s="78"/>
      <c r="Z229" s="78"/>
      <c r="AA229" s="78"/>
      <c r="AB229" s="78"/>
    </row>
    <row r="230" spans="1:28" s="75" customFormat="1" ht="15" customHeight="1">
      <c r="A230" s="37" t="s">
        <v>183</v>
      </c>
      <c r="B230" s="37">
        <v>1</v>
      </c>
      <c r="C230" s="37"/>
      <c r="D230" s="37">
        <v>3</v>
      </c>
      <c r="E230" s="37"/>
      <c r="F230" s="37"/>
      <c r="G230" s="37"/>
      <c r="H230" s="37"/>
      <c r="I230" s="37"/>
      <c r="J230" s="37">
        <v>112</v>
      </c>
      <c r="K230" s="272">
        <v>383</v>
      </c>
      <c r="L230" s="334" t="s">
        <v>182</v>
      </c>
      <c r="M230" s="422">
        <f t="shared" si="81"/>
        <v>0</v>
      </c>
      <c r="N230" s="422">
        <f t="shared" si="81"/>
        <v>2654.456168292521</v>
      </c>
      <c r="O230" s="437">
        <f t="shared" si="81"/>
        <v>20000</v>
      </c>
      <c r="P230" s="437">
        <f t="shared" si="81"/>
        <v>2654.456168292521</v>
      </c>
      <c r="Q230" s="437">
        <f t="shared" si="81"/>
        <v>0</v>
      </c>
      <c r="R230" s="437">
        <f t="shared" si="81"/>
        <v>0</v>
      </c>
      <c r="S230" s="437">
        <f t="shared" si="81"/>
        <v>0</v>
      </c>
      <c r="T230" s="437" t="e">
        <f>S230/M230*100</f>
        <v>#DIV/0!</v>
      </c>
      <c r="U230" s="437" t="e">
        <f>S230/R230*100</f>
        <v>#DIV/0!</v>
      </c>
      <c r="V230" s="78"/>
      <c r="W230" s="78"/>
      <c r="X230" s="78"/>
      <c r="Y230" s="78"/>
      <c r="Z230" s="78"/>
      <c r="AA230" s="78"/>
      <c r="AB230" s="78"/>
    </row>
    <row r="231" spans="1:28" s="75" customFormat="1" ht="16.5" customHeight="1">
      <c r="A231" s="37" t="s">
        <v>183</v>
      </c>
      <c r="B231" s="37">
        <v>1</v>
      </c>
      <c r="C231" s="37"/>
      <c r="D231" s="37">
        <v>3</v>
      </c>
      <c r="E231" s="37"/>
      <c r="F231" s="37"/>
      <c r="G231" s="37"/>
      <c r="H231" s="37"/>
      <c r="I231" s="37"/>
      <c r="J231" s="37">
        <v>112</v>
      </c>
      <c r="K231" s="42">
        <v>3831</v>
      </c>
      <c r="L231" s="88" t="s">
        <v>81</v>
      </c>
      <c r="M231" s="422">
        <v>0</v>
      </c>
      <c r="N231" s="422">
        <f>20000/7.5345</f>
        <v>2654.456168292521</v>
      </c>
      <c r="O231" s="422">
        <v>20000</v>
      </c>
      <c r="P231" s="422">
        <f>20000/7.5345</f>
        <v>2654.456168292521</v>
      </c>
      <c r="Q231" s="422">
        <v>0</v>
      </c>
      <c r="R231" s="422"/>
      <c r="S231" s="422"/>
      <c r="T231" s="437" t="e">
        <f>S231/M231*100</f>
        <v>#DIV/0!</v>
      </c>
      <c r="U231" s="437" t="e">
        <f>S231/R231*100</f>
        <v>#DIV/0!</v>
      </c>
      <c r="V231" s="78"/>
      <c r="W231" s="78"/>
      <c r="X231" s="78"/>
      <c r="Y231" s="78"/>
      <c r="Z231" s="78"/>
      <c r="AA231" s="78"/>
      <c r="AB231" s="78"/>
    </row>
    <row r="232" spans="1:36" s="128" customFormat="1" ht="15.75">
      <c r="A232" s="125"/>
      <c r="B232" s="125"/>
      <c r="C232" s="125"/>
      <c r="D232" s="125"/>
      <c r="E232" s="125"/>
      <c r="F232" s="125"/>
      <c r="G232" s="125"/>
      <c r="H232" s="125"/>
      <c r="I232" s="125"/>
      <c r="J232" s="125"/>
      <c r="K232" s="140"/>
      <c r="L232" s="127" t="s">
        <v>137</v>
      </c>
      <c r="M232" s="421">
        <f aca="true" t="shared" si="82" ref="M232:S232">M228</f>
        <v>0</v>
      </c>
      <c r="N232" s="421">
        <f t="shared" si="82"/>
        <v>2654.456168292521</v>
      </c>
      <c r="O232" s="421">
        <f t="shared" si="82"/>
        <v>20000</v>
      </c>
      <c r="P232" s="421">
        <f t="shared" si="82"/>
        <v>2654.456168292521</v>
      </c>
      <c r="Q232" s="421">
        <f t="shared" si="82"/>
        <v>0</v>
      </c>
      <c r="R232" s="421">
        <f t="shared" si="82"/>
        <v>0</v>
      </c>
      <c r="S232" s="421">
        <f t="shared" si="82"/>
        <v>0</v>
      </c>
      <c r="T232" s="421" t="e">
        <f>S232/M232*100</f>
        <v>#DIV/0!</v>
      </c>
      <c r="U232" s="421" t="e">
        <f>S232/R232*100</f>
        <v>#DIV/0!</v>
      </c>
      <c r="V232" s="78"/>
      <c r="W232" s="78"/>
      <c r="X232" s="78"/>
      <c r="Y232" s="78"/>
      <c r="Z232" s="78"/>
      <c r="AA232" s="78"/>
      <c r="AB232" s="78"/>
      <c r="AC232" s="75"/>
      <c r="AD232" s="75"/>
      <c r="AE232" s="75"/>
      <c r="AF232" s="75"/>
      <c r="AG232" s="75"/>
      <c r="AH232" s="75"/>
      <c r="AI232" s="75"/>
      <c r="AJ232" s="75"/>
    </row>
    <row r="233" spans="1:21" s="78" customFormat="1" ht="15">
      <c r="A233" s="65"/>
      <c r="B233" s="65"/>
      <c r="C233" s="65"/>
      <c r="D233" s="65"/>
      <c r="E233" s="65"/>
      <c r="F233" s="65"/>
      <c r="G233" s="65"/>
      <c r="H233" s="65"/>
      <c r="I233" s="65"/>
      <c r="J233" s="65"/>
      <c r="K233" s="65"/>
      <c r="L233" s="77"/>
      <c r="M233" s="453"/>
      <c r="N233" s="453"/>
      <c r="O233" s="453"/>
      <c r="P233" s="453"/>
      <c r="Q233" s="453"/>
      <c r="R233" s="453"/>
      <c r="S233" s="453"/>
      <c r="T233" s="453"/>
      <c r="U233" s="453"/>
    </row>
    <row r="234" spans="1:36" s="212" customFormat="1" ht="50.25" customHeight="1">
      <c r="A234" s="185" t="s">
        <v>180</v>
      </c>
      <c r="B234" s="79"/>
      <c r="C234" s="79"/>
      <c r="D234" s="79"/>
      <c r="E234" s="79"/>
      <c r="F234" s="79"/>
      <c r="G234" s="79"/>
      <c r="H234" s="79"/>
      <c r="I234" s="79"/>
      <c r="J234" s="79"/>
      <c r="K234" s="41" t="s">
        <v>51</v>
      </c>
      <c r="L234" s="342" t="s">
        <v>503</v>
      </c>
      <c r="M234" s="430"/>
      <c r="N234" s="430"/>
      <c r="O234" s="430"/>
      <c r="P234" s="430"/>
      <c r="Q234" s="430"/>
      <c r="R234" s="430"/>
      <c r="S234" s="430"/>
      <c r="T234" s="430"/>
      <c r="U234" s="430"/>
      <c r="V234" s="78"/>
      <c r="W234" s="78"/>
      <c r="X234" s="78"/>
      <c r="Y234" s="78"/>
      <c r="Z234" s="78"/>
      <c r="AA234" s="78"/>
      <c r="AB234" s="78"/>
      <c r="AC234" s="78"/>
      <c r="AD234" s="78"/>
      <c r="AE234" s="78"/>
      <c r="AF234" s="78"/>
      <c r="AG234" s="78"/>
      <c r="AH234" s="78"/>
      <c r="AI234" s="78"/>
      <c r="AJ234" s="78"/>
    </row>
    <row r="235" spans="1:28" s="75" customFormat="1" ht="15.75">
      <c r="A235" s="37" t="s">
        <v>393</v>
      </c>
      <c r="B235" s="37">
        <v>1</v>
      </c>
      <c r="C235" s="37"/>
      <c r="D235" s="37">
        <v>3</v>
      </c>
      <c r="E235" s="37"/>
      <c r="F235" s="37"/>
      <c r="G235" s="37">
        <v>6</v>
      </c>
      <c r="H235" s="37"/>
      <c r="I235" s="37"/>
      <c r="J235" s="37">
        <v>490</v>
      </c>
      <c r="K235" s="272">
        <v>4</v>
      </c>
      <c r="L235" s="273" t="s">
        <v>1</v>
      </c>
      <c r="M235" s="422">
        <f aca="true" t="shared" si="83" ref="M235:S236">M236</f>
        <v>0</v>
      </c>
      <c r="N235" s="422">
        <f t="shared" si="83"/>
        <v>13272.280841462605</v>
      </c>
      <c r="O235" s="437">
        <f t="shared" si="83"/>
        <v>50000</v>
      </c>
      <c r="P235" s="437">
        <f t="shared" si="83"/>
        <v>15000</v>
      </c>
      <c r="Q235" s="437">
        <f t="shared" si="83"/>
        <v>0</v>
      </c>
      <c r="R235" s="437">
        <f t="shared" si="83"/>
        <v>15000</v>
      </c>
      <c r="S235" s="437">
        <f t="shared" si="83"/>
        <v>0</v>
      </c>
      <c r="T235" s="437" t="e">
        <f>S235/M235*100</f>
        <v>#DIV/0!</v>
      </c>
      <c r="U235" s="437">
        <f>S235/R235*100</f>
        <v>0</v>
      </c>
      <c r="V235" s="78"/>
      <c r="W235" s="78"/>
      <c r="X235" s="78"/>
      <c r="Y235" s="78"/>
      <c r="Z235" s="78"/>
      <c r="AA235" s="78"/>
      <c r="AB235" s="78"/>
    </row>
    <row r="236" spans="1:28" s="75" customFormat="1" ht="15">
      <c r="A236" s="37" t="s">
        <v>393</v>
      </c>
      <c r="B236" s="37">
        <v>1</v>
      </c>
      <c r="C236" s="37"/>
      <c r="D236" s="37">
        <v>3</v>
      </c>
      <c r="E236" s="37"/>
      <c r="F236" s="37"/>
      <c r="G236" s="37">
        <v>6</v>
      </c>
      <c r="H236" s="37"/>
      <c r="I236" s="37"/>
      <c r="J236" s="37">
        <v>490</v>
      </c>
      <c r="K236" s="272">
        <v>45</v>
      </c>
      <c r="L236" s="382" t="s">
        <v>378</v>
      </c>
      <c r="M236" s="422">
        <f t="shared" si="83"/>
        <v>0</v>
      </c>
      <c r="N236" s="422">
        <f t="shared" si="83"/>
        <v>13272.280841462605</v>
      </c>
      <c r="O236" s="437">
        <f t="shared" si="83"/>
        <v>50000</v>
      </c>
      <c r="P236" s="437">
        <f t="shared" si="83"/>
        <v>15000</v>
      </c>
      <c r="Q236" s="437">
        <f t="shared" si="83"/>
        <v>0</v>
      </c>
      <c r="R236" s="437">
        <f t="shared" si="83"/>
        <v>15000</v>
      </c>
      <c r="S236" s="437">
        <f t="shared" si="83"/>
        <v>0</v>
      </c>
      <c r="T236" s="437" t="e">
        <f>S236/M236*100</f>
        <v>#DIV/0!</v>
      </c>
      <c r="U236" s="437">
        <f>S236/R236*100</f>
        <v>0</v>
      </c>
      <c r="V236" s="78"/>
      <c r="W236" s="78"/>
      <c r="X236" s="78"/>
      <c r="Y236" s="78"/>
      <c r="Z236" s="78"/>
      <c r="AA236" s="78"/>
      <c r="AB236" s="78"/>
    </row>
    <row r="237" spans="1:28" s="75" customFormat="1" ht="36" customHeight="1">
      <c r="A237" s="37" t="s">
        <v>393</v>
      </c>
      <c r="B237" s="37">
        <v>1</v>
      </c>
      <c r="C237" s="37"/>
      <c r="D237" s="37">
        <v>3</v>
      </c>
      <c r="E237" s="37"/>
      <c r="F237" s="37"/>
      <c r="G237" s="37">
        <v>6</v>
      </c>
      <c r="H237" s="37"/>
      <c r="I237" s="37"/>
      <c r="J237" s="37">
        <v>490</v>
      </c>
      <c r="K237" s="42">
        <v>451</v>
      </c>
      <c r="L237" s="330" t="s">
        <v>550</v>
      </c>
      <c r="M237" s="422">
        <v>0</v>
      </c>
      <c r="N237" s="422">
        <f>100000/7.5345</f>
        <v>13272.280841462605</v>
      </c>
      <c r="O237" s="422">
        <v>50000</v>
      </c>
      <c r="P237" s="502">
        <v>15000</v>
      </c>
      <c r="Q237" s="422">
        <v>0</v>
      </c>
      <c r="R237" s="422">
        <v>15000</v>
      </c>
      <c r="S237" s="422"/>
      <c r="T237" s="437" t="e">
        <f>S237/M237*100</f>
        <v>#DIV/0!</v>
      </c>
      <c r="U237" s="437">
        <f>S237/R237*100</f>
        <v>0</v>
      </c>
      <c r="V237" s="78"/>
      <c r="W237" s="78"/>
      <c r="X237" s="78"/>
      <c r="Y237" s="78"/>
      <c r="Z237" s="78"/>
      <c r="AA237" s="78"/>
      <c r="AB237" s="78"/>
    </row>
    <row r="238" spans="1:36" s="128" customFormat="1" ht="15.75">
      <c r="A238" s="125"/>
      <c r="B238" s="125"/>
      <c r="C238" s="125"/>
      <c r="D238" s="125"/>
      <c r="E238" s="125"/>
      <c r="F238" s="125"/>
      <c r="G238" s="125"/>
      <c r="H238" s="125"/>
      <c r="I238" s="125"/>
      <c r="J238" s="125"/>
      <c r="K238" s="126"/>
      <c r="L238" s="127" t="s">
        <v>86</v>
      </c>
      <c r="M238" s="431">
        <f aca="true" t="shared" si="84" ref="M238:S238">M235</f>
        <v>0</v>
      </c>
      <c r="N238" s="431">
        <f t="shared" si="84"/>
        <v>13272.280841462605</v>
      </c>
      <c r="O238" s="431">
        <f t="shared" si="84"/>
        <v>50000</v>
      </c>
      <c r="P238" s="431">
        <f t="shared" si="84"/>
        <v>15000</v>
      </c>
      <c r="Q238" s="431">
        <f t="shared" si="84"/>
        <v>0</v>
      </c>
      <c r="R238" s="431">
        <f t="shared" si="84"/>
        <v>15000</v>
      </c>
      <c r="S238" s="431">
        <f t="shared" si="84"/>
        <v>0</v>
      </c>
      <c r="T238" s="421" t="e">
        <f>S238/M238*100</f>
        <v>#DIV/0!</v>
      </c>
      <c r="U238" s="421">
        <f>S238/R238*100</f>
        <v>0</v>
      </c>
      <c r="V238" s="78"/>
      <c r="W238" s="78"/>
      <c r="X238" s="78"/>
      <c r="Y238" s="78"/>
      <c r="Z238" s="78"/>
      <c r="AA238" s="78"/>
      <c r="AB238" s="78"/>
      <c r="AC238" s="75"/>
      <c r="AD238" s="75"/>
      <c r="AE238" s="75"/>
      <c r="AF238" s="75"/>
      <c r="AG238" s="75"/>
      <c r="AH238" s="75"/>
      <c r="AI238" s="75"/>
      <c r="AJ238" s="75"/>
    </row>
    <row r="239" spans="1:36" s="46" customFormat="1" ht="15">
      <c r="A239" s="19"/>
      <c r="B239" s="19"/>
      <c r="C239" s="19"/>
      <c r="D239" s="19"/>
      <c r="E239" s="19"/>
      <c r="F239" s="19"/>
      <c r="G239" s="19"/>
      <c r="H239" s="19"/>
      <c r="I239" s="19"/>
      <c r="J239" s="19"/>
      <c r="K239" s="13"/>
      <c r="L239" s="45"/>
      <c r="M239" s="429"/>
      <c r="N239" s="429"/>
      <c r="O239" s="429"/>
      <c r="P239" s="429"/>
      <c r="Q239" s="429"/>
      <c r="R239" s="429"/>
      <c r="S239" s="429"/>
      <c r="T239" s="429"/>
      <c r="U239" s="429"/>
      <c r="V239" s="78"/>
      <c r="W239" s="78"/>
      <c r="X239" s="78"/>
      <c r="Y239" s="78"/>
      <c r="Z239" s="78"/>
      <c r="AA239" s="78"/>
      <c r="AB239" s="78"/>
      <c r="AC239" s="78"/>
      <c r="AD239" s="78"/>
      <c r="AE239" s="78"/>
      <c r="AF239" s="78"/>
      <c r="AG239" s="78"/>
      <c r="AH239" s="78"/>
      <c r="AI239" s="78"/>
      <c r="AJ239" s="78"/>
    </row>
    <row r="240" spans="1:36" s="212" customFormat="1" ht="15">
      <c r="A240" s="79" t="s">
        <v>187</v>
      </c>
      <c r="B240" s="79"/>
      <c r="C240" s="79"/>
      <c r="D240" s="79"/>
      <c r="E240" s="79"/>
      <c r="F240" s="79"/>
      <c r="G240" s="79"/>
      <c r="H240" s="79"/>
      <c r="I240" s="79"/>
      <c r="J240" s="79"/>
      <c r="K240" s="41" t="s">
        <v>186</v>
      </c>
      <c r="L240" s="614" t="s">
        <v>369</v>
      </c>
      <c r="M240" s="430"/>
      <c r="N240" s="430"/>
      <c r="O240" s="430"/>
      <c r="P240" s="430"/>
      <c r="Q240" s="430"/>
      <c r="R240" s="430"/>
      <c r="S240" s="430"/>
      <c r="T240" s="430"/>
      <c r="U240" s="430"/>
      <c r="V240" s="78"/>
      <c r="W240" s="78"/>
      <c r="X240" s="78"/>
      <c r="Y240" s="78"/>
      <c r="Z240" s="78"/>
      <c r="AA240" s="78"/>
      <c r="AB240" s="78"/>
      <c r="AC240" s="78"/>
      <c r="AD240" s="78"/>
      <c r="AE240" s="78"/>
      <c r="AF240" s="78"/>
      <c r="AG240" s="78"/>
      <c r="AH240" s="78"/>
      <c r="AI240" s="78"/>
      <c r="AJ240" s="78"/>
    </row>
    <row r="241" spans="1:36" s="212" customFormat="1" ht="25.5" customHeight="1">
      <c r="A241" s="79" t="s">
        <v>343</v>
      </c>
      <c r="B241" s="79"/>
      <c r="C241" s="79"/>
      <c r="D241" s="79"/>
      <c r="E241" s="79"/>
      <c r="F241" s="79"/>
      <c r="G241" s="79"/>
      <c r="H241" s="79"/>
      <c r="I241" s="79"/>
      <c r="J241" s="79"/>
      <c r="K241" s="41" t="s">
        <v>222</v>
      </c>
      <c r="L241" s="618"/>
      <c r="M241" s="430"/>
      <c r="N241" s="430"/>
      <c r="O241" s="430"/>
      <c r="P241" s="430"/>
      <c r="Q241" s="430"/>
      <c r="R241" s="430"/>
      <c r="S241" s="430"/>
      <c r="T241" s="430"/>
      <c r="U241" s="430"/>
      <c r="V241" s="78"/>
      <c r="W241" s="78"/>
      <c r="X241" s="78"/>
      <c r="Y241" s="78"/>
      <c r="Z241" s="78"/>
      <c r="AA241" s="78"/>
      <c r="AB241" s="78"/>
      <c r="AC241" s="78"/>
      <c r="AD241" s="78"/>
      <c r="AE241" s="78"/>
      <c r="AF241" s="78"/>
      <c r="AG241" s="78"/>
      <c r="AH241" s="78"/>
      <c r="AI241" s="78"/>
      <c r="AJ241" s="78"/>
    </row>
    <row r="242" spans="1:28" s="75" customFormat="1" ht="15.75">
      <c r="A242" s="37" t="s">
        <v>343</v>
      </c>
      <c r="B242" s="37">
        <v>1</v>
      </c>
      <c r="C242" s="37"/>
      <c r="D242" s="37">
        <v>3</v>
      </c>
      <c r="E242" s="37"/>
      <c r="F242" s="37"/>
      <c r="G242" s="37"/>
      <c r="H242" s="37"/>
      <c r="I242" s="37"/>
      <c r="J242" s="37">
        <v>112</v>
      </c>
      <c r="K242" s="272">
        <v>4</v>
      </c>
      <c r="L242" s="273" t="s">
        <v>1</v>
      </c>
      <c r="M242" s="422">
        <f aca="true" t="shared" si="85" ref="M242:S242">M243</f>
        <v>4484.836419138629</v>
      </c>
      <c r="N242" s="422">
        <f t="shared" si="85"/>
        <v>7299.750420731301</v>
      </c>
      <c r="O242" s="437">
        <f t="shared" si="85"/>
        <v>55663.61</v>
      </c>
      <c r="P242" s="437">
        <f t="shared" si="85"/>
        <v>28199.7504207313</v>
      </c>
      <c r="Q242" s="437">
        <f t="shared" si="85"/>
        <v>399</v>
      </c>
      <c r="R242" s="437">
        <f t="shared" si="85"/>
        <v>1461.6100000000001</v>
      </c>
      <c r="S242" s="437">
        <f t="shared" si="85"/>
        <v>798</v>
      </c>
      <c r="T242" s="437">
        <f>S242/M242*100</f>
        <v>17.79329111301826</v>
      </c>
      <c r="U242" s="437">
        <f>S242/R242*100</f>
        <v>54.59732760449093</v>
      </c>
      <c r="V242" s="78"/>
      <c r="W242" s="78"/>
      <c r="X242" s="78"/>
      <c r="Y242" s="78"/>
      <c r="Z242" s="78"/>
      <c r="AA242" s="78"/>
      <c r="AB242" s="78"/>
    </row>
    <row r="243" spans="1:28" s="75" customFormat="1" ht="15">
      <c r="A243" s="37" t="s">
        <v>343</v>
      </c>
      <c r="B243" s="37">
        <v>1</v>
      </c>
      <c r="C243" s="37"/>
      <c r="D243" s="37">
        <v>3</v>
      </c>
      <c r="E243" s="37"/>
      <c r="F243" s="37"/>
      <c r="G243" s="37"/>
      <c r="H243" s="37"/>
      <c r="I243" s="37"/>
      <c r="J243" s="37">
        <v>112</v>
      </c>
      <c r="K243" s="274">
        <v>42</v>
      </c>
      <c r="L243" s="278" t="s">
        <v>41</v>
      </c>
      <c r="M243" s="422">
        <f aca="true" t="shared" si="86" ref="M243:S243">M244+M246+M251+M253</f>
        <v>4484.836419138629</v>
      </c>
      <c r="N243" s="422">
        <f t="shared" si="86"/>
        <v>7299.750420731301</v>
      </c>
      <c r="O243" s="437">
        <f t="shared" si="86"/>
        <v>55663.61</v>
      </c>
      <c r="P243" s="437">
        <f t="shared" si="86"/>
        <v>28199.7504207313</v>
      </c>
      <c r="Q243" s="437">
        <f t="shared" si="86"/>
        <v>399</v>
      </c>
      <c r="R243" s="437">
        <f t="shared" si="86"/>
        <v>1461.6100000000001</v>
      </c>
      <c r="S243" s="437">
        <f t="shared" si="86"/>
        <v>798</v>
      </c>
      <c r="T243" s="437">
        <f aca="true" t="shared" si="87" ref="T243:T256">S243/M243*100</f>
        <v>17.79329111301826</v>
      </c>
      <c r="U243" s="437">
        <f aca="true" t="shared" si="88" ref="U243:U256">S243/R243*100</f>
        <v>54.59732760449093</v>
      </c>
      <c r="V243" s="78"/>
      <c r="W243" s="78"/>
      <c r="X243" s="78"/>
      <c r="Y243" s="78"/>
      <c r="Z243" s="78"/>
      <c r="AA243" s="78"/>
      <c r="AB243" s="78"/>
    </row>
    <row r="244" spans="1:28" s="75" customFormat="1" ht="15" customHeight="1">
      <c r="A244" s="37" t="s">
        <v>343</v>
      </c>
      <c r="B244" s="37">
        <v>1</v>
      </c>
      <c r="C244" s="37"/>
      <c r="D244" s="37">
        <v>3</v>
      </c>
      <c r="E244" s="37"/>
      <c r="F244" s="37"/>
      <c r="G244" s="37"/>
      <c r="H244" s="37"/>
      <c r="I244" s="37"/>
      <c r="J244" s="37">
        <v>112</v>
      </c>
      <c r="K244" s="272">
        <v>421</v>
      </c>
      <c r="L244" s="337" t="s">
        <v>13</v>
      </c>
      <c r="M244" s="422">
        <f aca="true" t="shared" si="89" ref="M244:S244">M245</f>
        <v>0</v>
      </c>
      <c r="N244" s="422">
        <f t="shared" si="89"/>
        <v>0</v>
      </c>
      <c r="O244" s="437">
        <f t="shared" si="89"/>
        <v>0</v>
      </c>
      <c r="P244" s="437">
        <f t="shared" si="89"/>
        <v>0</v>
      </c>
      <c r="Q244" s="437">
        <f t="shared" si="89"/>
        <v>0</v>
      </c>
      <c r="R244" s="437">
        <f t="shared" si="89"/>
        <v>0</v>
      </c>
      <c r="S244" s="437">
        <f t="shared" si="89"/>
        <v>0</v>
      </c>
      <c r="T244" s="437" t="e">
        <f t="shared" si="87"/>
        <v>#DIV/0!</v>
      </c>
      <c r="U244" s="437" t="e">
        <f t="shared" si="88"/>
        <v>#DIV/0!</v>
      </c>
      <c r="V244" s="78"/>
      <c r="W244" s="78"/>
      <c r="X244" s="78"/>
      <c r="Y244" s="78"/>
      <c r="Z244" s="78"/>
      <c r="AA244" s="78"/>
      <c r="AB244" s="78"/>
    </row>
    <row r="245" spans="1:28" s="75" customFormat="1" ht="18.75" customHeight="1">
      <c r="A245" s="37" t="s">
        <v>343</v>
      </c>
      <c r="B245" s="37">
        <v>1</v>
      </c>
      <c r="C245" s="37"/>
      <c r="D245" s="37">
        <v>3</v>
      </c>
      <c r="E245" s="37"/>
      <c r="F245" s="37"/>
      <c r="G245" s="37"/>
      <c r="H245" s="37"/>
      <c r="I245" s="37"/>
      <c r="J245" s="37">
        <v>112</v>
      </c>
      <c r="K245" s="42">
        <v>4214</v>
      </c>
      <c r="L245" s="333" t="s">
        <v>191</v>
      </c>
      <c r="M245" s="422">
        <v>0</v>
      </c>
      <c r="N245" s="422">
        <v>0</v>
      </c>
      <c r="O245" s="422">
        <v>0</v>
      </c>
      <c r="P245" s="422">
        <v>0</v>
      </c>
      <c r="Q245" s="422">
        <v>0</v>
      </c>
      <c r="R245" s="422"/>
      <c r="S245" s="422"/>
      <c r="T245" s="437" t="e">
        <f t="shared" si="87"/>
        <v>#DIV/0!</v>
      </c>
      <c r="U245" s="437" t="e">
        <f t="shared" si="88"/>
        <v>#DIV/0!</v>
      </c>
      <c r="V245" s="78"/>
      <c r="W245" s="78"/>
      <c r="X245" s="78"/>
      <c r="Y245" s="78"/>
      <c r="Z245" s="78"/>
      <c r="AA245" s="78"/>
      <c r="AB245" s="78"/>
    </row>
    <row r="246" spans="1:28" s="75" customFormat="1" ht="19.5" customHeight="1">
      <c r="A246" s="37" t="s">
        <v>343</v>
      </c>
      <c r="B246" s="37">
        <v>1</v>
      </c>
      <c r="C246" s="37"/>
      <c r="D246" s="37">
        <v>3</v>
      </c>
      <c r="E246" s="37"/>
      <c r="F246" s="37"/>
      <c r="G246" s="37"/>
      <c r="H246" s="37"/>
      <c r="I246" s="37"/>
      <c r="J246" s="37">
        <v>112</v>
      </c>
      <c r="K246" s="272">
        <v>422</v>
      </c>
      <c r="L246" s="337" t="s">
        <v>189</v>
      </c>
      <c r="M246" s="422">
        <f>SUM(M247:M250)</f>
        <v>4484.836419138629</v>
      </c>
      <c r="N246" s="422">
        <f>N247+N248+N250+N249</f>
        <v>4645.294252438781</v>
      </c>
      <c r="O246" s="437">
        <f>SUM(O247:O250)</f>
        <v>35663.61</v>
      </c>
      <c r="P246" s="437">
        <f>SUM(P247:P250)</f>
        <v>25545.29425243878</v>
      </c>
      <c r="Q246" s="437">
        <f>SUM(Q247:Q250)</f>
        <v>399</v>
      </c>
      <c r="R246" s="437">
        <f>SUM(R247:R250)</f>
        <v>1461.6100000000001</v>
      </c>
      <c r="S246" s="437">
        <f>SUM(S247:S250)</f>
        <v>798</v>
      </c>
      <c r="T246" s="437">
        <f t="shared" si="87"/>
        <v>17.79329111301826</v>
      </c>
      <c r="U246" s="437">
        <f t="shared" si="88"/>
        <v>54.59732760449093</v>
      </c>
      <c r="V246" s="78"/>
      <c r="W246" s="78"/>
      <c r="X246" s="78"/>
      <c r="Y246" s="78"/>
      <c r="Z246" s="78"/>
      <c r="AA246" s="78"/>
      <c r="AB246" s="78"/>
    </row>
    <row r="247" spans="1:28" s="75" customFormat="1" ht="21" customHeight="1">
      <c r="A247" s="37" t="s">
        <v>343</v>
      </c>
      <c r="B247" s="37">
        <v>1</v>
      </c>
      <c r="C247" s="37"/>
      <c r="D247" s="37">
        <v>3</v>
      </c>
      <c r="E247" s="37"/>
      <c r="F247" s="37"/>
      <c r="G247" s="37"/>
      <c r="H247" s="37"/>
      <c r="I247" s="37"/>
      <c r="J247" s="37">
        <v>112</v>
      </c>
      <c r="K247" s="42">
        <v>4221</v>
      </c>
      <c r="L247" s="333" t="s">
        <v>412</v>
      </c>
      <c r="M247" s="422">
        <v>0</v>
      </c>
      <c r="N247" s="422">
        <f>20000/7.5345</f>
        <v>2654.456168292521</v>
      </c>
      <c r="O247" s="422">
        <v>20000</v>
      </c>
      <c r="P247" s="422">
        <f>20000/7.5345</f>
        <v>2654.456168292521</v>
      </c>
      <c r="Q247" s="422">
        <v>0</v>
      </c>
      <c r="R247" s="422">
        <v>0</v>
      </c>
      <c r="S247" s="422"/>
      <c r="T247" s="437" t="e">
        <f t="shared" si="87"/>
        <v>#DIV/0!</v>
      </c>
      <c r="U247" s="437" t="e">
        <f t="shared" si="88"/>
        <v>#DIV/0!</v>
      </c>
      <c r="V247" s="78"/>
      <c r="W247" s="78"/>
      <c r="X247" s="78"/>
      <c r="Y247" s="78"/>
      <c r="Z247" s="78"/>
      <c r="AA247" s="78"/>
      <c r="AB247" s="78"/>
    </row>
    <row r="248" spans="1:28" s="75" customFormat="1" ht="24.75" customHeight="1">
      <c r="A248" s="37" t="s">
        <v>343</v>
      </c>
      <c r="B248" s="37">
        <v>1</v>
      </c>
      <c r="C248" s="37"/>
      <c r="D248" s="37">
        <v>3</v>
      </c>
      <c r="E248" s="37"/>
      <c r="F248" s="37"/>
      <c r="G248" s="37"/>
      <c r="H248" s="37"/>
      <c r="I248" s="37"/>
      <c r="J248" s="37">
        <v>112</v>
      </c>
      <c r="K248" s="256">
        <v>4221</v>
      </c>
      <c r="L248" s="89" t="s">
        <v>75</v>
      </c>
      <c r="M248" s="422">
        <f>33791/7.5345</f>
        <v>4484.836419138629</v>
      </c>
      <c r="N248" s="422">
        <f>10000/7.5345</f>
        <v>1327.2280841462605</v>
      </c>
      <c r="O248" s="422">
        <v>10000</v>
      </c>
      <c r="P248" s="422">
        <f>10000/7.5345</f>
        <v>1327.2280841462605</v>
      </c>
      <c r="Q248" s="422">
        <v>399</v>
      </c>
      <c r="R248" s="422">
        <v>798</v>
      </c>
      <c r="S248" s="422">
        <v>798</v>
      </c>
      <c r="T248" s="437">
        <f t="shared" si="87"/>
        <v>17.79329111301826</v>
      </c>
      <c r="U248" s="437">
        <f t="shared" si="88"/>
        <v>100</v>
      </c>
      <c r="V248" s="78"/>
      <c r="W248" s="78"/>
      <c r="X248" s="78"/>
      <c r="Y248" s="78"/>
      <c r="Z248" s="78"/>
      <c r="AA248" s="78"/>
      <c r="AB248" s="78"/>
    </row>
    <row r="249" spans="1:28" s="75" customFormat="1" ht="25.5" customHeight="1">
      <c r="A249" s="37" t="s">
        <v>343</v>
      </c>
      <c r="B249" s="37">
        <v>1</v>
      </c>
      <c r="C249" s="37"/>
      <c r="D249" s="37">
        <v>3</v>
      </c>
      <c r="E249" s="37"/>
      <c r="F249" s="37"/>
      <c r="G249" s="37"/>
      <c r="H249" s="37"/>
      <c r="I249" s="37"/>
      <c r="J249" s="37">
        <v>112</v>
      </c>
      <c r="K249" s="256">
        <v>4222</v>
      </c>
      <c r="L249" s="333" t="s">
        <v>439</v>
      </c>
      <c r="M249" s="422"/>
      <c r="N249" s="422">
        <v>663.61</v>
      </c>
      <c r="O249" s="422">
        <v>663.61</v>
      </c>
      <c r="P249" s="422">
        <v>663.61</v>
      </c>
      <c r="Q249" s="422">
        <v>0</v>
      </c>
      <c r="R249" s="422">
        <v>663.61</v>
      </c>
      <c r="S249" s="422"/>
      <c r="T249" s="437" t="e">
        <f t="shared" si="87"/>
        <v>#DIV/0!</v>
      </c>
      <c r="U249" s="437">
        <f t="shared" si="88"/>
        <v>0</v>
      </c>
      <c r="V249" s="78"/>
      <c r="W249" s="78"/>
      <c r="X249" s="78"/>
      <c r="Y249" s="78"/>
      <c r="Z249" s="78"/>
      <c r="AA249" s="78"/>
      <c r="AB249" s="78"/>
    </row>
    <row r="250" spans="1:28" s="75" customFormat="1" ht="35.25" customHeight="1">
      <c r="A250" s="37" t="s">
        <v>343</v>
      </c>
      <c r="B250" s="37">
        <v>1</v>
      </c>
      <c r="C250" s="37"/>
      <c r="D250" s="37">
        <v>3</v>
      </c>
      <c r="E250" s="37"/>
      <c r="F250" s="37"/>
      <c r="G250" s="37"/>
      <c r="H250" s="37"/>
      <c r="I250" s="37"/>
      <c r="J250" s="37">
        <v>112</v>
      </c>
      <c r="K250" s="256">
        <v>4227</v>
      </c>
      <c r="L250" s="504" t="s">
        <v>658</v>
      </c>
      <c r="M250" s="422">
        <v>0</v>
      </c>
      <c r="N250" s="422">
        <v>0</v>
      </c>
      <c r="O250" s="422">
        <v>5000</v>
      </c>
      <c r="P250" s="502">
        <v>20900</v>
      </c>
      <c r="Q250" s="422">
        <v>0</v>
      </c>
      <c r="R250" s="422">
        <v>0</v>
      </c>
      <c r="S250" s="422"/>
      <c r="T250" s="437" t="e">
        <f t="shared" si="87"/>
        <v>#DIV/0!</v>
      </c>
      <c r="U250" s="437" t="e">
        <f t="shared" si="88"/>
        <v>#DIV/0!</v>
      </c>
      <c r="V250" s="78"/>
      <c r="W250" s="78"/>
      <c r="X250" s="78"/>
      <c r="Y250" s="78"/>
      <c r="Z250" s="78"/>
      <c r="AA250" s="78"/>
      <c r="AB250" s="78"/>
    </row>
    <row r="251" spans="1:28" s="75" customFormat="1" ht="21.75" customHeight="1">
      <c r="A251" s="37" t="s">
        <v>343</v>
      </c>
      <c r="B251" s="37">
        <v>1</v>
      </c>
      <c r="C251" s="37"/>
      <c r="D251" s="37">
        <v>3</v>
      </c>
      <c r="E251" s="37"/>
      <c r="F251" s="37"/>
      <c r="G251" s="37"/>
      <c r="H251" s="37"/>
      <c r="I251" s="37"/>
      <c r="J251" s="37">
        <v>112</v>
      </c>
      <c r="K251" s="292">
        <v>423</v>
      </c>
      <c r="L251" s="275" t="s">
        <v>15</v>
      </c>
      <c r="M251" s="422">
        <f aca="true" t="shared" si="90" ref="M251:S251">M252</f>
        <v>0</v>
      </c>
      <c r="N251" s="422">
        <f t="shared" si="90"/>
        <v>0</v>
      </c>
      <c r="O251" s="437">
        <f t="shared" si="90"/>
        <v>0</v>
      </c>
      <c r="P251" s="437">
        <f t="shared" si="90"/>
        <v>0</v>
      </c>
      <c r="Q251" s="437">
        <f t="shared" si="90"/>
        <v>0</v>
      </c>
      <c r="R251" s="437">
        <f t="shared" si="90"/>
        <v>0</v>
      </c>
      <c r="S251" s="437">
        <f t="shared" si="90"/>
        <v>0</v>
      </c>
      <c r="T251" s="437" t="e">
        <f t="shared" si="87"/>
        <v>#DIV/0!</v>
      </c>
      <c r="U251" s="437" t="e">
        <f t="shared" si="88"/>
        <v>#DIV/0!</v>
      </c>
      <c r="V251" s="78"/>
      <c r="W251" s="78"/>
      <c r="X251" s="78"/>
      <c r="Y251" s="78"/>
      <c r="Z251" s="78"/>
      <c r="AA251" s="78"/>
      <c r="AB251" s="78"/>
    </row>
    <row r="252" spans="1:28" s="75" customFormat="1" ht="23.25" customHeight="1">
      <c r="A252" s="37" t="s">
        <v>343</v>
      </c>
      <c r="B252" s="37">
        <v>1</v>
      </c>
      <c r="C252" s="37"/>
      <c r="D252" s="37">
        <v>3</v>
      </c>
      <c r="E252" s="37"/>
      <c r="F252" s="37"/>
      <c r="G252" s="37"/>
      <c r="H252" s="37"/>
      <c r="I252" s="37"/>
      <c r="J252" s="37">
        <v>112</v>
      </c>
      <c r="K252" s="256">
        <v>4231</v>
      </c>
      <c r="L252" s="374" t="s">
        <v>563</v>
      </c>
      <c r="M252" s="422">
        <v>0</v>
      </c>
      <c r="N252" s="422">
        <v>0</v>
      </c>
      <c r="O252" s="422">
        <v>0</v>
      </c>
      <c r="P252" s="422">
        <v>0</v>
      </c>
      <c r="Q252" s="422">
        <v>0</v>
      </c>
      <c r="R252" s="422">
        <v>0</v>
      </c>
      <c r="S252" s="422"/>
      <c r="T252" s="437" t="e">
        <f t="shared" si="87"/>
        <v>#DIV/0!</v>
      </c>
      <c r="U252" s="437" t="e">
        <f t="shared" si="88"/>
        <v>#DIV/0!</v>
      </c>
      <c r="V252" s="78"/>
      <c r="W252" s="78"/>
      <c r="X252" s="78"/>
      <c r="Y252" s="78"/>
      <c r="Z252" s="78"/>
      <c r="AA252" s="78"/>
      <c r="AB252" s="78"/>
    </row>
    <row r="253" spans="1:28" s="75" customFormat="1" ht="20.25" customHeight="1">
      <c r="A253" s="37" t="s">
        <v>343</v>
      </c>
      <c r="B253" s="37">
        <v>1</v>
      </c>
      <c r="C253" s="37"/>
      <c r="D253" s="37">
        <v>3</v>
      </c>
      <c r="E253" s="37"/>
      <c r="F253" s="37"/>
      <c r="G253" s="37"/>
      <c r="H253" s="37"/>
      <c r="I253" s="37"/>
      <c r="J253" s="37">
        <v>112</v>
      </c>
      <c r="K253" s="292">
        <v>426</v>
      </c>
      <c r="L253" s="337" t="s">
        <v>30</v>
      </c>
      <c r="M253" s="422">
        <f aca="true" t="shared" si="91" ref="M253:S253">M254</f>
        <v>0</v>
      </c>
      <c r="N253" s="422">
        <f t="shared" si="91"/>
        <v>2654.456168292521</v>
      </c>
      <c r="O253" s="437">
        <f t="shared" si="91"/>
        <v>20000</v>
      </c>
      <c r="P253" s="437">
        <f t="shared" si="91"/>
        <v>2654.456168292521</v>
      </c>
      <c r="Q253" s="437">
        <f t="shared" si="91"/>
        <v>0</v>
      </c>
      <c r="R253" s="437">
        <f t="shared" si="91"/>
        <v>0</v>
      </c>
      <c r="S253" s="437">
        <f t="shared" si="91"/>
        <v>0</v>
      </c>
      <c r="T253" s="437" t="e">
        <f t="shared" si="87"/>
        <v>#DIV/0!</v>
      </c>
      <c r="U253" s="437" t="e">
        <f t="shared" si="88"/>
        <v>#DIV/0!</v>
      </c>
      <c r="V253" s="78"/>
      <c r="W253" s="78"/>
      <c r="X253" s="78"/>
      <c r="Y253" s="78"/>
      <c r="Z253" s="78"/>
      <c r="AA253" s="78"/>
      <c r="AB253" s="78"/>
    </row>
    <row r="254" spans="1:28" s="75" customFormat="1" ht="18" customHeight="1">
      <c r="A254" s="37" t="s">
        <v>343</v>
      </c>
      <c r="B254" s="37">
        <v>1</v>
      </c>
      <c r="C254" s="37"/>
      <c r="D254" s="37">
        <v>3</v>
      </c>
      <c r="E254" s="37"/>
      <c r="F254" s="37"/>
      <c r="G254" s="37"/>
      <c r="H254" s="37"/>
      <c r="I254" s="37"/>
      <c r="J254" s="37">
        <v>112</v>
      </c>
      <c r="K254" s="256">
        <v>4262</v>
      </c>
      <c r="L254" s="333" t="s">
        <v>190</v>
      </c>
      <c r="M254" s="422">
        <v>0</v>
      </c>
      <c r="N254" s="422">
        <f>20000/7.5345</f>
        <v>2654.456168292521</v>
      </c>
      <c r="O254" s="422">
        <v>20000</v>
      </c>
      <c r="P254" s="422">
        <f>20000/7.5345</f>
        <v>2654.456168292521</v>
      </c>
      <c r="Q254" s="422">
        <v>0</v>
      </c>
      <c r="R254" s="422">
        <v>0</v>
      </c>
      <c r="S254" s="422"/>
      <c r="T254" s="437" t="e">
        <f t="shared" si="87"/>
        <v>#DIV/0!</v>
      </c>
      <c r="U254" s="437" t="e">
        <f t="shared" si="88"/>
        <v>#DIV/0!</v>
      </c>
      <c r="V254" s="78"/>
      <c r="W254" s="78"/>
      <c r="X254" s="78"/>
      <c r="Y254" s="78"/>
      <c r="Z254" s="78"/>
      <c r="AA254" s="78"/>
      <c r="AB254" s="78"/>
    </row>
    <row r="255" spans="1:36" s="44" customFormat="1" ht="0.75" customHeight="1" thickBot="1">
      <c r="A255" s="17" t="s">
        <v>188</v>
      </c>
      <c r="B255" s="16">
        <v>1</v>
      </c>
      <c r="C255" s="16"/>
      <c r="D255" s="16">
        <v>3</v>
      </c>
      <c r="E255" s="16"/>
      <c r="F255" s="16"/>
      <c r="G255" s="16"/>
      <c r="H255" s="16"/>
      <c r="I255" s="16"/>
      <c r="J255" s="16">
        <v>133</v>
      </c>
      <c r="K255" s="225"/>
      <c r="L255" s="504"/>
      <c r="M255" s="454"/>
      <c r="N255" s="454"/>
      <c r="O255" s="455"/>
      <c r="P255" s="505"/>
      <c r="Q255" s="455"/>
      <c r="R255" s="455"/>
      <c r="S255" s="455"/>
      <c r="T255" s="437" t="e">
        <f t="shared" si="87"/>
        <v>#DIV/0!</v>
      </c>
      <c r="U255" s="437" t="e">
        <f t="shared" si="88"/>
        <v>#DIV/0!</v>
      </c>
      <c r="V255" s="78"/>
      <c r="W255" s="78"/>
      <c r="X255" s="78"/>
      <c r="Y255" s="78"/>
      <c r="Z255" s="78"/>
      <c r="AA255" s="78"/>
      <c r="AB255" s="78"/>
      <c r="AC255" s="75"/>
      <c r="AD255" s="75"/>
      <c r="AE255" s="75"/>
      <c r="AF255" s="75"/>
      <c r="AG255" s="75"/>
      <c r="AH255" s="75"/>
      <c r="AI255" s="75"/>
      <c r="AJ255" s="75"/>
    </row>
    <row r="256" spans="1:36" s="128" customFormat="1" ht="15.75">
      <c r="A256" s="125"/>
      <c r="B256" s="125"/>
      <c r="C256" s="125"/>
      <c r="D256" s="125"/>
      <c r="E256" s="125"/>
      <c r="F256" s="125"/>
      <c r="G256" s="125"/>
      <c r="H256" s="125"/>
      <c r="I256" s="125"/>
      <c r="J256" s="125"/>
      <c r="K256" s="126"/>
      <c r="L256" s="127" t="s">
        <v>86</v>
      </c>
      <c r="M256" s="456">
        <f aca="true" t="shared" si="92" ref="M256:S256">M242</f>
        <v>4484.836419138629</v>
      </c>
      <c r="N256" s="456">
        <f t="shared" si="92"/>
        <v>7299.750420731301</v>
      </c>
      <c r="O256" s="456">
        <f t="shared" si="92"/>
        <v>55663.61</v>
      </c>
      <c r="P256" s="456">
        <f t="shared" si="92"/>
        <v>28199.7504207313</v>
      </c>
      <c r="Q256" s="456">
        <f t="shared" si="92"/>
        <v>399</v>
      </c>
      <c r="R256" s="456">
        <f t="shared" si="92"/>
        <v>1461.6100000000001</v>
      </c>
      <c r="S256" s="456">
        <f t="shared" si="92"/>
        <v>798</v>
      </c>
      <c r="T256" s="421">
        <f t="shared" si="87"/>
        <v>17.79329111301826</v>
      </c>
      <c r="U256" s="421">
        <f t="shared" si="88"/>
        <v>54.59732760449093</v>
      </c>
      <c r="V256" s="78"/>
      <c r="W256" s="78"/>
      <c r="X256" s="78"/>
      <c r="Y256" s="78"/>
      <c r="Z256" s="78"/>
      <c r="AA256" s="78"/>
      <c r="AB256" s="78"/>
      <c r="AC256" s="75"/>
      <c r="AD256" s="75"/>
      <c r="AE256" s="75"/>
      <c r="AF256" s="75"/>
      <c r="AG256" s="75"/>
      <c r="AH256" s="75"/>
      <c r="AI256" s="75"/>
      <c r="AJ256" s="75"/>
    </row>
    <row r="257" spans="1:36" s="46" customFormat="1" ht="15.75">
      <c r="A257" s="38"/>
      <c r="B257" s="38"/>
      <c r="C257" s="38"/>
      <c r="D257" s="38"/>
      <c r="E257" s="38"/>
      <c r="F257" s="38"/>
      <c r="G257" s="38"/>
      <c r="H257" s="38"/>
      <c r="I257" s="38"/>
      <c r="J257" s="38"/>
      <c r="K257" s="31"/>
      <c r="L257" s="58"/>
      <c r="M257" s="429"/>
      <c r="N257" s="429"/>
      <c r="O257" s="429"/>
      <c r="P257" s="429"/>
      <c r="Q257" s="429"/>
      <c r="R257" s="429"/>
      <c r="S257" s="429"/>
      <c r="T257" s="429"/>
      <c r="U257" s="429"/>
      <c r="V257" s="78"/>
      <c r="W257" s="78"/>
      <c r="X257" s="78"/>
      <c r="Y257" s="78"/>
      <c r="Z257" s="78"/>
      <c r="AA257" s="78"/>
      <c r="AB257" s="78"/>
      <c r="AC257" s="78"/>
      <c r="AD257" s="78"/>
      <c r="AE257" s="78"/>
      <c r="AF257" s="78"/>
      <c r="AG257" s="78"/>
      <c r="AH257" s="78"/>
      <c r="AI257" s="78"/>
      <c r="AJ257" s="78"/>
    </row>
    <row r="258" spans="1:36" s="212" customFormat="1" ht="15.75" customHeight="1">
      <c r="A258" s="79" t="s">
        <v>193</v>
      </c>
      <c r="B258" s="79"/>
      <c r="C258" s="79"/>
      <c r="D258" s="79"/>
      <c r="E258" s="79"/>
      <c r="F258" s="79"/>
      <c r="G258" s="79"/>
      <c r="H258" s="79"/>
      <c r="I258" s="79"/>
      <c r="J258" s="79"/>
      <c r="K258" s="41" t="s">
        <v>192</v>
      </c>
      <c r="L258" s="614" t="s">
        <v>352</v>
      </c>
      <c r="M258" s="430"/>
      <c r="N258" s="430"/>
      <c r="O258" s="430"/>
      <c r="P258" s="430"/>
      <c r="Q258" s="430"/>
      <c r="R258" s="430"/>
      <c r="S258" s="430"/>
      <c r="T258" s="430"/>
      <c r="U258" s="430"/>
      <c r="V258" s="78"/>
      <c r="W258" s="78"/>
      <c r="X258" s="78"/>
      <c r="Y258" s="78"/>
      <c r="Z258" s="78"/>
      <c r="AA258" s="78"/>
      <c r="AB258" s="78"/>
      <c r="AC258" s="78"/>
      <c r="AD258" s="78"/>
      <c r="AE258" s="78"/>
      <c r="AF258" s="78"/>
      <c r="AG258" s="78"/>
      <c r="AH258" s="78"/>
      <c r="AI258" s="78"/>
      <c r="AJ258" s="78"/>
    </row>
    <row r="259" spans="1:36" s="212" customFormat="1" ht="19.5" customHeight="1">
      <c r="A259" s="79" t="s">
        <v>194</v>
      </c>
      <c r="B259" s="79"/>
      <c r="C259" s="79"/>
      <c r="D259" s="79"/>
      <c r="E259" s="79"/>
      <c r="F259" s="79"/>
      <c r="G259" s="79"/>
      <c r="H259" s="79"/>
      <c r="I259" s="79"/>
      <c r="J259" s="79"/>
      <c r="K259" s="41" t="s">
        <v>25</v>
      </c>
      <c r="L259" s="614"/>
      <c r="M259" s="430"/>
      <c r="N259" s="430"/>
      <c r="O259" s="430"/>
      <c r="P259" s="430"/>
      <c r="Q259" s="430"/>
      <c r="R259" s="430"/>
      <c r="S259" s="430"/>
      <c r="T259" s="430"/>
      <c r="U259" s="430"/>
      <c r="V259" s="78"/>
      <c r="W259" s="78"/>
      <c r="X259" s="78"/>
      <c r="Y259" s="78"/>
      <c r="Z259" s="78"/>
      <c r="AA259" s="78"/>
      <c r="AB259" s="78"/>
      <c r="AC259" s="78"/>
      <c r="AD259" s="78"/>
      <c r="AE259" s="78"/>
      <c r="AF259" s="78"/>
      <c r="AG259" s="78"/>
      <c r="AH259" s="78"/>
      <c r="AI259" s="78"/>
      <c r="AJ259" s="78"/>
    </row>
    <row r="260" spans="1:28" s="75" customFormat="1" ht="34.5" customHeight="1">
      <c r="A260" s="37" t="s">
        <v>194</v>
      </c>
      <c r="B260" s="37">
        <v>1</v>
      </c>
      <c r="C260" s="37"/>
      <c r="D260" s="37">
        <v>3</v>
      </c>
      <c r="E260" s="37"/>
      <c r="F260" s="37"/>
      <c r="G260" s="37"/>
      <c r="H260" s="37"/>
      <c r="I260" s="37"/>
      <c r="J260" s="72" t="s">
        <v>488</v>
      </c>
      <c r="K260" s="272">
        <v>3</v>
      </c>
      <c r="L260" s="273" t="s">
        <v>0</v>
      </c>
      <c r="M260" s="422">
        <f>M264</f>
        <v>0</v>
      </c>
      <c r="N260" s="422">
        <f>N264+N261</f>
        <v>6636.140420731303</v>
      </c>
      <c r="O260" s="437">
        <f>O264</f>
        <v>50000</v>
      </c>
      <c r="P260" s="437">
        <f>P264+P261</f>
        <v>6636.140420731303</v>
      </c>
      <c r="Q260" s="437">
        <f>Q264+Q261</f>
        <v>0</v>
      </c>
      <c r="R260" s="437">
        <f>R264+R261</f>
        <v>0</v>
      </c>
      <c r="S260" s="437">
        <f>S264+S261</f>
        <v>0</v>
      </c>
      <c r="T260" s="437" t="e">
        <f>S260/M260*100</f>
        <v>#DIV/0!</v>
      </c>
      <c r="U260" s="437" t="e">
        <f>S260/R260*100</f>
        <v>#DIV/0!</v>
      </c>
      <c r="V260" s="78"/>
      <c r="W260" s="78"/>
      <c r="X260" s="78"/>
      <c r="Y260" s="78"/>
      <c r="Z260" s="78"/>
      <c r="AA260" s="78"/>
      <c r="AB260" s="78"/>
    </row>
    <row r="261" spans="1:28" s="75" customFormat="1" ht="19.5" customHeight="1">
      <c r="A261" s="37" t="s">
        <v>194</v>
      </c>
      <c r="B261" s="37"/>
      <c r="C261" s="37"/>
      <c r="D261" s="37"/>
      <c r="E261" s="37"/>
      <c r="F261" s="37"/>
      <c r="G261" s="37"/>
      <c r="H261" s="37"/>
      <c r="I261" s="37"/>
      <c r="J261" s="72" t="s">
        <v>246</v>
      </c>
      <c r="K261" s="272">
        <v>35</v>
      </c>
      <c r="L261" s="358" t="s">
        <v>10</v>
      </c>
      <c r="M261" s="422"/>
      <c r="N261" s="422">
        <f>N262</f>
        <v>0</v>
      </c>
      <c r="O261" s="437"/>
      <c r="P261" s="437">
        <f aca="true" t="shared" si="93" ref="P261:S262">P262</f>
        <v>0</v>
      </c>
      <c r="Q261" s="437">
        <f t="shared" si="93"/>
        <v>0</v>
      </c>
      <c r="R261" s="437">
        <f t="shared" si="93"/>
        <v>0</v>
      </c>
      <c r="S261" s="437">
        <f t="shared" si="93"/>
        <v>0</v>
      </c>
      <c r="T261" s="437" t="e">
        <f aca="true" t="shared" si="94" ref="T261:T267">S261/M261*100</f>
        <v>#DIV/0!</v>
      </c>
      <c r="U261" s="437" t="e">
        <f aca="true" t="shared" si="95" ref="U261:U267">S261/R261*100</f>
        <v>#DIV/0!</v>
      </c>
      <c r="V261" s="78"/>
      <c r="W261" s="78"/>
      <c r="X261" s="78"/>
      <c r="Y261" s="78"/>
      <c r="Z261" s="78"/>
      <c r="AA261" s="78"/>
      <c r="AB261" s="78"/>
    </row>
    <row r="262" spans="1:28" s="75" customFormat="1" ht="16.5" customHeight="1">
      <c r="A262" s="37" t="s">
        <v>194</v>
      </c>
      <c r="B262" s="37"/>
      <c r="C262" s="37"/>
      <c r="D262" s="37"/>
      <c r="E262" s="37"/>
      <c r="F262" s="37"/>
      <c r="G262" s="37"/>
      <c r="H262" s="37"/>
      <c r="I262" s="37"/>
      <c r="J262" s="72" t="s">
        <v>246</v>
      </c>
      <c r="K262" s="272">
        <v>352</v>
      </c>
      <c r="L262" s="334" t="s">
        <v>195</v>
      </c>
      <c r="M262" s="422"/>
      <c r="N262" s="422">
        <f>N263</f>
        <v>0</v>
      </c>
      <c r="O262" s="437"/>
      <c r="P262" s="437">
        <f t="shared" si="93"/>
        <v>0</v>
      </c>
      <c r="Q262" s="437">
        <f t="shared" si="93"/>
        <v>0</v>
      </c>
      <c r="R262" s="437">
        <f t="shared" si="93"/>
        <v>0</v>
      </c>
      <c r="S262" s="437">
        <f t="shared" si="93"/>
        <v>0</v>
      </c>
      <c r="T262" s="437" t="e">
        <f t="shared" si="94"/>
        <v>#DIV/0!</v>
      </c>
      <c r="U262" s="437" t="e">
        <f t="shared" si="95"/>
        <v>#DIV/0!</v>
      </c>
      <c r="V262" s="78"/>
      <c r="W262" s="78"/>
      <c r="X262" s="78"/>
      <c r="Y262" s="78"/>
      <c r="Z262" s="78"/>
      <c r="AA262" s="78"/>
      <c r="AB262" s="78"/>
    </row>
    <row r="263" spans="1:28" s="75" customFormat="1" ht="19.5" customHeight="1">
      <c r="A263" s="37" t="s">
        <v>194</v>
      </c>
      <c r="B263" s="37"/>
      <c r="C263" s="37"/>
      <c r="D263" s="37"/>
      <c r="E263" s="37"/>
      <c r="F263" s="37"/>
      <c r="G263" s="37"/>
      <c r="H263" s="37"/>
      <c r="I263" s="37"/>
      <c r="J263" s="72" t="s">
        <v>246</v>
      </c>
      <c r="K263" s="42">
        <v>3523</v>
      </c>
      <c r="L263" s="345" t="s">
        <v>196</v>
      </c>
      <c r="M263" s="422"/>
      <c r="N263" s="422"/>
      <c r="O263" s="422"/>
      <c r="P263" s="422"/>
      <c r="Q263" s="422"/>
      <c r="R263" s="422"/>
      <c r="S263" s="422"/>
      <c r="T263" s="437" t="e">
        <f t="shared" si="94"/>
        <v>#DIV/0!</v>
      </c>
      <c r="U263" s="437" t="e">
        <f t="shared" si="95"/>
        <v>#DIV/0!</v>
      </c>
      <c r="V263" s="78"/>
      <c r="W263" s="78"/>
      <c r="X263" s="78"/>
      <c r="Y263" s="78"/>
      <c r="Z263" s="78"/>
      <c r="AA263" s="78"/>
      <c r="AB263" s="78"/>
    </row>
    <row r="264" spans="1:28" s="75" customFormat="1" ht="15">
      <c r="A264" s="37" t="s">
        <v>194</v>
      </c>
      <c r="B264" s="37">
        <v>1</v>
      </c>
      <c r="C264" s="37"/>
      <c r="D264" s="37">
        <v>3</v>
      </c>
      <c r="E264" s="37"/>
      <c r="F264" s="37"/>
      <c r="G264" s="37"/>
      <c r="H264" s="37"/>
      <c r="I264" s="37"/>
      <c r="J264" s="72" t="s">
        <v>488</v>
      </c>
      <c r="K264" s="272">
        <v>38</v>
      </c>
      <c r="L264" s="276" t="s">
        <v>77</v>
      </c>
      <c r="M264" s="422">
        <f aca="true" t="shared" si="96" ref="M264:S265">M265</f>
        <v>0</v>
      </c>
      <c r="N264" s="422">
        <f t="shared" si="96"/>
        <v>6636.140420731303</v>
      </c>
      <c r="O264" s="437">
        <f t="shared" si="96"/>
        <v>50000</v>
      </c>
      <c r="P264" s="437">
        <f t="shared" si="96"/>
        <v>6636.140420731303</v>
      </c>
      <c r="Q264" s="437">
        <f t="shared" si="96"/>
        <v>0</v>
      </c>
      <c r="R264" s="437">
        <f t="shared" si="96"/>
        <v>0</v>
      </c>
      <c r="S264" s="437">
        <f t="shared" si="96"/>
        <v>0</v>
      </c>
      <c r="T264" s="437" t="e">
        <f t="shared" si="94"/>
        <v>#DIV/0!</v>
      </c>
      <c r="U264" s="437" t="e">
        <f t="shared" si="95"/>
        <v>#DIV/0!</v>
      </c>
      <c r="V264" s="78"/>
      <c r="W264" s="78"/>
      <c r="X264" s="78"/>
      <c r="Y264" s="78"/>
      <c r="Z264" s="78"/>
      <c r="AA264" s="78"/>
      <c r="AB264" s="78"/>
    </row>
    <row r="265" spans="1:28" s="75" customFormat="1" ht="24" customHeight="1">
      <c r="A265" s="37" t="s">
        <v>194</v>
      </c>
      <c r="B265" s="37">
        <v>1</v>
      </c>
      <c r="C265" s="37"/>
      <c r="D265" s="37">
        <v>3</v>
      </c>
      <c r="E265" s="37"/>
      <c r="F265" s="37"/>
      <c r="G265" s="37"/>
      <c r="H265" s="37"/>
      <c r="I265" s="37"/>
      <c r="J265" s="72" t="s">
        <v>488</v>
      </c>
      <c r="K265" s="272">
        <v>381</v>
      </c>
      <c r="L265" s="277" t="s">
        <v>12</v>
      </c>
      <c r="M265" s="422">
        <f t="shared" si="96"/>
        <v>0</v>
      </c>
      <c r="N265" s="422">
        <f t="shared" si="96"/>
        <v>6636.140420731303</v>
      </c>
      <c r="O265" s="437">
        <f t="shared" si="96"/>
        <v>50000</v>
      </c>
      <c r="P265" s="437">
        <f t="shared" si="96"/>
        <v>6636.140420731303</v>
      </c>
      <c r="Q265" s="437">
        <f t="shared" si="96"/>
        <v>0</v>
      </c>
      <c r="R265" s="437">
        <f t="shared" si="96"/>
        <v>0</v>
      </c>
      <c r="S265" s="437">
        <f t="shared" si="96"/>
        <v>0</v>
      </c>
      <c r="T265" s="437" t="e">
        <f t="shared" si="94"/>
        <v>#DIV/0!</v>
      </c>
      <c r="U265" s="437" t="e">
        <f t="shared" si="95"/>
        <v>#DIV/0!</v>
      </c>
      <c r="V265" s="78"/>
      <c r="W265" s="78"/>
      <c r="X265" s="78"/>
      <c r="Y265" s="78"/>
      <c r="Z265" s="78"/>
      <c r="AA265" s="78"/>
      <c r="AB265" s="78"/>
    </row>
    <row r="266" spans="1:28" s="75" customFormat="1" ht="30" customHeight="1">
      <c r="A266" s="37" t="s">
        <v>194</v>
      </c>
      <c r="B266" s="37">
        <v>1</v>
      </c>
      <c r="C266" s="37"/>
      <c r="D266" s="37">
        <v>3</v>
      </c>
      <c r="E266" s="37"/>
      <c r="F266" s="37"/>
      <c r="G266" s="37"/>
      <c r="H266" s="37"/>
      <c r="I266" s="37"/>
      <c r="J266" s="72" t="s">
        <v>488</v>
      </c>
      <c r="K266" s="42">
        <v>3811</v>
      </c>
      <c r="L266" s="372" t="s">
        <v>551</v>
      </c>
      <c r="M266" s="457">
        <v>0</v>
      </c>
      <c r="N266" s="457">
        <f>50000/7.5345</f>
        <v>6636.140420731303</v>
      </c>
      <c r="O266" s="457">
        <v>50000</v>
      </c>
      <c r="P266" s="457">
        <f>50000/7.5345</f>
        <v>6636.140420731303</v>
      </c>
      <c r="Q266" s="457">
        <v>0</v>
      </c>
      <c r="R266" s="457">
        <v>0</v>
      </c>
      <c r="S266" s="457"/>
      <c r="T266" s="437" t="e">
        <f t="shared" si="94"/>
        <v>#DIV/0!</v>
      </c>
      <c r="U266" s="437" t="e">
        <f t="shared" si="95"/>
        <v>#DIV/0!</v>
      </c>
      <c r="V266" s="78"/>
      <c r="W266" s="78"/>
      <c r="X266" s="78"/>
      <c r="Y266" s="78"/>
      <c r="Z266" s="78"/>
      <c r="AA266" s="78"/>
      <c r="AB266" s="78"/>
    </row>
    <row r="267" spans="1:36" s="128" customFormat="1" ht="15.75">
      <c r="A267" s="125"/>
      <c r="B267" s="125"/>
      <c r="C267" s="125"/>
      <c r="D267" s="125"/>
      <c r="E267" s="125"/>
      <c r="F267" s="125"/>
      <c r="G267" s="125"/>
      <c r="H267" s="125"/>
      <c r="I267" s="125"/>
      <c r="J267" s="129"/>
      <c r="K267" s="140"/>
      <c r="L267" s="348" t="s">
        <v>137</v>
      </c>
      <c r="M267" s="421">
        <f aca="true" t="shared" si="97" ref="M267:S267">M260</f>
        <v>0</v>
      </c>
      <c r="N267" s="421">
        <f t="shared" si="97"/>
        <v>6636.140420731303</v>
      </c>
      <c r="O267" s="421">
        <f t="shared" si="97"/>
        <v>50000</v>
      </c>
      <c r="P267" s="421">
        <f t="shared" si="97"/>
        <v>6636.140420731303</v>
      </c>
      <c r="Q267" s="421">
        <f t="shared" si="97"/>
        <v>0</v>
      </c>
      <c r="R267" s="421">
        <f t="shared" si="97"/>
        <v>0</v>
      </c>
      <c r="S267" s="421">
        <f t="shared" si="97"/>
        <v>0</v>
      </c>
      <c r="T267" s="421" t="e">
        <f t="shared" si="94"/>
        <v>#DIV/0!</v>
      </c>
      <c r="U267" s="421" t="e">
        <f t="shared" si="95"/>
        <v>#DIV/0!</v>
      </c>
      <c r="V267" s="78"/>
      <c r="W267" s="78"/>
      <c r="X267" s="78"/>
      <c r="Y267" s="78"/>
      <c r="Z267" s="78"/>
      <c r="AA267" s="78"/>
      <c r="AB267" s="78"/>
      <c r="AC267" s="75"/>
      <c r="AD267" s="75"/>
      <c r="AE267" s="75"/>
      <c r="AF267" s="75"/>
      <c r="AG267" s="75"/>
      <c r="AH267" s="75"/>
      <c r="AI267" s="75"/>
      <c r="AJ267" s="75"/>
    </row>
    <row r="268" spans="1:28" s="75" customFormat="1" ht="15.75">
      <c r="A268" s="37"/>
      <c r="B268" s="37"/>
      <c r="C268" s="37"/>
      <c r="D268" s="37"/>
      <c r="E268" s="37"/>
      <c r="F268" s="37"/>
      <c r="G268" s="37"/>
      <c r="H268" s="37"/>
      <c r="I268" s="37"/>
      <c r="J268" s="95"/>
      <c r="K268" s="65"/>
      <c r="L268" s="178"/>
      <c r="M268" s="458"/>
      <c r="N268" s="458"/>
      <c r="O268" s="458"/>
      <c r="P268" s="458"/>
      <c r="Q268" s="458"/>
      <c r="R268" s="458"/>
      <c r="S268" s="458"/>
      <c r="T268" s="458"/>
      <c r="U268" s="458"/>
      <c r="V268" s="78"/>
      <c r="W268" s="78"/>
      <c r="X268" s="78"/>
      <c r="Y268" s="78"/>
      <c r="Z268" s="78"/>
      <c r="AA268" s="78"/>
      <c r="AB268" s="78"/>
    </row>
    <row r="269" spans="1:36" s="193" customFormat="1" ht="39" customHeight="1">
      <c r="A269" s="183" t="s">
        <v>193</v>
      </c>
      <c r="B269" s="33"/>
      <c r="C269" s="33"/>
      <c r="D269" s="33"/>
      <c r="E269" s="33"/>
      <c r="F269" s="33"/>
      <c r="G269" s="33"/>
      <c r="H269" s="33"/>
      <c r="I269" s="33"/>
      <c r="J269" s="180"/>
      <c r="K269" s="79" t="s">
        <v>185</v>
      </c>
      <c r="L269" s="367" t="s">
        <v>546</v>
      </c>
      <c r="M269" s="459"/>
      <c r="N269" s="459"/>
      <c r="O269" s="459"/>
      <c r="P269" s="459"/>
      <c r="Q269" s="459"/>
      <c r="R269" s="459"/>
      <c r="S269" s="459"/>
      <c r="T269" s="459"/>
      <c r="U269" s="459"/>
      <c r="V269" s="78"/>
      <c r="W269" s="78"/>
      <c r="X269" s="78"/>
      <c r="Y269" s="78"/>
      <c r="Z269" s="78"/>
      <c r="AA269" s="78"/>
      <c r="AB269" s="78"/>
      <c r="AC269" s="75"/>
      <c r="AD269" s="75"/>
      <c r="AE269" s="75"/>
      <c r="AF269" s="75"/>
      <c r="AG269" s="75"/>
      <c r="AH269" s="75"/>
      <c r="AI269" s="75"/>
      <c r="AJ269" s="75"/>
    </row>
    <row r="270" spans="1:28" s="75" customFormat="1" ht="15" customHeight="1">
      <c r="A270" s="65" t="s">
        <v>482</v>
      </c>
      <c r="B270" s="65">
        <v>1</v>
      </c>
      <c r="C270" s="65"/>
      <c r="D270" s="65"/>
      <c r="E270" s="65"/>
      <c r="F270" s="65"/>
      <c r="G270" s="65"/>
      <c r="H270" s="65"/>
      <c r="I270" s="65"/>
      <c r="J270" s="257" t="s">
        <v>481</v>
      </c>
      <c r="K270" s="306">
        <v>3</v>
      </c>
      <c r="L270" s="328" t="s">
        <v>0</v>
      </c>
      <c r="M270" s="460">
        <f aca="true" t="shared" si="98" ref="M270:S270">M271+M276</f>
        <v>55810.3391067755</v>
      </c>
      <c r="N270" s="460">
        <f t="shared" si="98"/>
        <v>36498.772314022164</v>
      </c>
      <c r="O270" s="460">
        <f t="shared" si="98"/>
        <v>275000</v>
      </c>
      <c r="P270" s="460">
        <f t="shared" si="98"/>
        <v>36498.772314022164</v>
      </c>
      <c r="Q270" s="460">
        <f t="shared" si="98"/>
        <v>13280</v>
      </c>
      <c r="R270" s="460">
        <f t="shared" si="98"/>
        <v>27156</v>
      </c>
      <c r="S270" s="460">
        <f t="shared" si="98"/>
        <v>27303.83</v>
      </c>
      <c r="T270" s="437">
        <f>S270/M270*100</f>
        <v>48.922530192412424</v>
      </c>
      <c r="U270" s="437">
        <f>S270/R270*100</f>
        <v>100.54437325084697</v>
      </c>
      <c r="V270" s="78"/>
      <c r="W270" s="78"/>
      <c r="X270" s="78"/>
      <c r="Y270" s="78"/>
      <c r="Z270" s="78"/>
      <c r="AA270" s="78"/>
      <c r="AB270" s="78"/>
    </row>
    <row r="271" spans="1:28" s="75" customFormat="1" ht="15" customHeight="1">
      <c r="A271" s="65" t="s">
        <v>482</v>
      </c>
      <c r="B271" s="65">
        <v>1</v>
      </c>
      <c r="C271" s="65"/>
      <c r="D271" s="65"/>
      <c r="E271" s="65"/>
      <c r="F271" s="65"/>
      <c r="G271" s="65"/>
      <c r="H271" s="65"/>
      <c r="I271" s="65"/>
      <c r="J271" s="257" t="s">
        <v>481</v>
      </c>
      <c r="K271" s="272">
        <v>32</v>
      </c>
      <c r="L271" s="290" t="s">
        <v>5</v>
      </c>
      <c r="M271" s="460">
        <f aca="true" t="shared" si="99" ref="M271:S271">M272+M274</f>
        <v>42538.058265312895</v>
      </c>
      <c r="N271" s="460">
        <f t="shared" si="99"/>
        <v>9954.210631096954</v>
      </c>
      <c r="O271" s="461">
        <f t="shared" si="99"/>
        <v>75000</v>
      </c>
      <c r="P271" s="461">
        <f t="shared" si="99"/>
        <v>9954.210631096954</v>
      </c>
      <c r="Q271" s="461">
        <f t="shared" si="99"/>
        <v>0</v>
      </c>
      <c r="R271" s="461">
        <f t="shared" si="99"/>
        <v>600</v>
      </c>
      <c r="S271" s="461">
        <f t="shared" si="99"/>
        <v>747.83</v>
      </c>
      <c r="T271" s="437">
        <f aca="true" t="shared" si="100" ref="T271:T286">S271/M271*100</f>
        <v>1.758025708027694</v>
      </c>
      <c r="U271" s="437">
        <f aca="true" t="shared" si="101" ref="U271:U286">S271/R271*100</f>
        <v>124.63833333333334</v>
      </c>
      <c r="V271" s="78"/>
      <c r="W271" s="78"/>
      <c r="X271" s="78"/>
      <c r="Y271" s="78"/>
      <c r="Z271" s="78"/>
      <c r="AA271" s="78"/>
      <c r="AB271" s="78"/>
    </row>
    <row r="272" spans="1:28" s="75" customFormat="1" ht="24" customHeight="1">
      <c r="A272" s="65" t="s">
        <v>482</v>
      </c>
      <c r="B272" s="65">
        <v>1</v>
      </c>
      <c r="C272" s="65"/>
      <c r="D272" s="65"/>
      <c r="E272" s="65"/>
      <c r="F272" s="65"/>
      <c r="G272" s="65"/>
      <c r="H272" s="65"/>
      <c r="I272" s="65"/>
      <c r="J272" s="257" t="s">
        <v>481</v>
      </c>
      <c r="K272" s="272">
        <v>322</v>
      </c>
      <c r="L272" s="273" t="s">
        <v>26</v>
      </c>
      <c r="M272" s="460">
        <f aca="true" t="shared" si="102" ref="M272:S272">M273</f>
        <v>40689.893158139224</v>
      </c>
      <c r="N272" s="460">
        <f t="shared" si="102"/>
        <v>9290.596589023824</v>
      </c>
      <c r="O272" s="461">
        <f t="shared" si="102"/>
        <v>70000</v>
      </c>
      <c r="P272" s="461">
        <f t="shared" si="102"/>
        <v>9290.596589023824</v>
      </c>
      <c r="Q272" s="461">
        <f t="shared" si="102"/>
        <v>0</v>
      </c>
      <c r="R272" s="461">
        <f t="shared" si="102"/>
        <v>0</v>
      </c>
      <c r="S272" s="461">
        <f t="shared" si="102"/>
        <v>0</v>
      </c>
      <c r="T272" s="437">
        <f t="shared" si="100"/>
        <v>0</v>
      </c>
      <c r="U272" s="437" t="e">
        <f t="shared" si="101"/>
        <v>#DIV/0!</v>
      </c>
      <c r="V272" s="78"/>
      <c r="W272" s="78"/>
      <c r="X272" s="78"/>
      <c r="Y272" s="78"/>
      <c r="Z272" s="78"/>
      <c r="AA272" s="78"/>
      <c r="AB272" s="78"/>
    </row>
    <row r="273" spans="1:28" s="75" customFormat="1" ht="21.75" customHeight="1">
      <c r="A273" s="65" t="s">
        <v>482</v>
      </c>
      <c r="B273" s="65">
        <v>1</v>
      </c>
      <c r="C273" s="65"/>
      <c r="D273" s="65"/>
      <c r="E273" s="65"/>
      <c r="F273" s="65"/>
      <c r="G273" s="65"/>
      <c r="H273" s="65"/>
      <c r="I273" s="65"/>
      <c r="J273" s="257" t="s">
        <v>481</v>
      </c>
      <c r="K273" s="426">
        <v>3223</v>
      </c>
      <c r="L273" s="318" t="s">
        <v>598</v>
      </c>
      <c r="M273" s="460">
        <f>306578/7.5345</f>
        <v>40689.893158139224</v>
      </c>
      <c r="N273" s="460">
        <f>70000/7.5345</f>
        <v>9290.596589023824</v>
      </c>
      <c r="O273" s="460">
        <v>70000</v>
      </c>
      <c r="P273" s="460">
        <f>70000/7.5345</f>
        <v>9290.596589023824</v>
      </c>
      <c r="Q273" s="460">
        <v>0</v>
      </c>
      <c r="R273" s="460"/>
      <c r="S273" s="460"/>
      <c r="T273" s="437">
        <f t="shared" si="100"/>
        <v>0</v>
      </c>
      <c r="U273" s="437" t="e">
        <f t="shared" si="101"/>
        <v>#DIV/0!</v>
      </c>
      <c r="V273" s="78"/>
      <c r="W273" s="78"/>
      <c r="X273" s="78"/>
      <c r="Y273" s="78"/>
      <c r="Z273" s="78"/>
      <c r="AA273" s="78"/>
      <c r="AB273" s="78"/>
    </row>
    <row r="274" spans="1:28" s="75" customFormat="1" ht="24" customHeight="1">
      <c r="A274" s="65" t="s">
        <v>482</v>
      </c>
      <c r="B274" s="65">
        <v>1</v>
      </c>
      <c r="C274" s="65"/>
      <c r="D274" s="65"/>
      <c r="E274" s="65"/>
      <c r="F274" s="65"/>
      <c r="G274" s="65"/>
      <c r="H274" s="65"/>
      <c r="I274" s="65"/>
      <c r="J274" s="257" t="s">
        <v>481</v>
      </c>
      <c r="K274" s="272">
        <v>323</v>
      </c>
      <c r="L274" s="273" t="s">
        <v>7</v>
      </c>
      <c r="M274" s="460">
        <f aca="true" t="shared" si="103" ref="M274:S274">M275</f>
        <v>1848.1651071736676</v>
      </c>
      <c r="N274" s="460">
        <f t="shared" si="103"/>
        <v>663.6140420731302</v>
      </c>
      <c r="O274" s="461">
        <f t="shared" si="103"/>
        <v>5000</v>
      </c>
      <c r="P274" s="461">
        <f t="shared" si="103"/>
        <v>663.6140420731302</v>
      </c>
      <c r="Q274" s="461">
        <f t="shared" si="103"/>
        <v>0</v>
      </c>
      <c r="R274" s="461">
        <f t="shared" si="103"/>
        <v>600</v>
      </c>
      <c r="S274" s="461">
        <f t="shared" si="103"/>
        <v>747.83</v>
      </c>
      <c r="T274" s="437">
        <f t="shared" si="100"/>
        <v>40.463376193895876</v>
      </c>
      <c r="U274" s="437">
        <f t="shared" si="101"/>
        <v>124.63833333333334</v>
      </c>
      <c r="V274" s="78"/>
      <c r="W274" s="78"/>
      <c r="X274" s="78"/>
      <c r="Y274" s="78"/>
      <c r="Z274" s="78"/>
      <c r="AA274" s="78"/>
      <c r="AB274" s="78"/>
    </row>
    <row r="275" spans="1:28" s="75" customFormat="1" ht="35.25" customHeight="1">
      <c r="A275" s="65" t="s">
        <v>482</v>
      </c>
      <c r="B275" s="65">
        <v>1</v>
      </c>
      <c r="C275" s="65"/>
      <c r="D275" s="65"/>
      <c r="E275" s="65"/>
      <c r="F275" s="65"/>
      <c r="G275" s="65"/>
      <c r="H275" s="65"/>
      <c r="I275" s="65"/>
      <c r="J275" s="257" t="s">
        <v>481</v>
      </c>
      <c r="K275" s="426">
        <v>3232</v>
      </c>
      <c r="L275" s="330" t="s">
        <v>599</v>
      </c>
      <c r="M275" s="460">
        <f>13925/7.5345</f>
        <v>1848.1651071736676</v>
      </c>
      <c r="N275" s="460">
        <f>5000/7.5345</f>
        <v>663.6140420731302</v>
      </c>
      <c r="O275" s="460">
        <v>5000</v>
      </c>
      <c r="P275" s="460">
        <f>5000/7.5345</f>
        <v>663.6140420731302</v>
      </c>
      <c r="Q275" s="460">
        <v>0</v>
      </c>
      <c r="R275" s="460">
        <v>600</v>
      </c>
      <c r="S275" s="460">
        <v>747.83</v>
      </c>
      <c r="T275" s="437">
        <f t="shared" si="100"/>
        <v>40.463376193895876</v>
      </c>
      <c r="U275" s="437">
        <f t="shared" si="101"/>
        <v>124.63833333333334</v>
      </c>
      <c r="V275" s="78"/>
      <c r="W275" s="78"/>
      <c r="X275" s="78"/>
      <c r="Y275" s="78"/>
      <c r="Z275" s="78"/>
      <c r="AA275" s="78"/>
      <c r="AB275" s="78"/>
    </row>
    <row r="276" spans="1:28" s="75" customFormat="1" ht="21" customHeight="1">
      <c r="A276" s="65" t="s">
        <v>482</v>
      </c>
      <c r="B276" s="65">
        <v>1</v>
      </c>
      <c r="C276" s="65"/>
      <c r="D276" s="65"/>
      <c r="E276" s="65"/>
      <c r="F276" s="65"/>
      <c r="G276" s="65"/>
      <c r="H276" s="65"/>
      <c r="I276" s="65"/>
      <c r="J276" s="257" t="s">
        <v>481</v>
      </c>
      <c r="K276" s="306">
        <v>35</v>
      </c>
      <c r="L276" s="273" t="s">
        <v>597</v>
      </c>
      <c r="M276" s="460">
        <f>M277</f>
        <v>13272.280841462605</v>
      </c>
      <c r="N276" s="460">
        <f>N277</f>
        <v>26544.56168292521</v>
      </c>
      <c r="O276" s="461">
        <f>O277</f>
        <v>200000</v>
      </c>
      <c r="P276" s="461">
        <f>P277</f>
        <v>26544.56168292521</v>
      </c>
      <c r="Q276" s="461">
        <f aca="true" t="shared" si="104" ref="M276:S277">Q277</f>
        <v>13280</v>
      </c>
      <c r="R276" s="461">
        <f t="shared" si="104"/>
        <v>26556</v>
      </c>
      <c r="S276" s="461">
        <f t="shared" si="104"/>
        <v>26556</v>
      </c>
      <c r="T276" s="437">
        <f t="shared" si="100"/>
        <v>200.08618199999998</v>
      </c>
      <c r="U276" s="437">
        <f t="shared" si="101"/>
        <v>100</v>
      </c>
      <c r="V276" s="78"/>
      <c r="W276" s="78"/>
      <c r="X276" s="78"/>
      <c r="Y276" s="78"/>
      <c r="Z276" s="78"/>
      <c r="AA276" s="78"/>
      <c r="AB276" s="78"/>
    </row>
    <row r="277" spans="1:28" s="75" customFormat="1" ht="20.25" customHeight="1">
      <c r="A277" s="65" t="s">
        <v>482</v>
      </c>
      <c r="B277" s="65">
        <v>1</v>
      </c>
      <c r="C277" s="65"/>
      <c r="D277" s="65"/>
      <c r="E277" s="65"/>
      <c r="F277" s="65"/>
      <c r="G277" s="65"/>
      <c r="H277" s="65"/>
      <c r="I277" s="65"/>
      <c r="J277" s="257" t="s">
        <v>481</v>
      </c>
      <c r="K277" s="306">
        <v>351</v>
      </c>
      <c r="L277" s="273" t="s">
        <v>385</v>
      </c>
      <c r="M277" s="460">
        <f t="shared" si="104"/>
        <v>13272.280841462605</v>
      </c>
      <c r="N277" s="460">
        <f t="shared" si="104"/>
        <v>26544.56168292521</v>
      </c>
      <c r="O277" s="461">
        <f t="shared" si="104"/>
        <v>200000</v>
      </c>
      <c r="P277" s="461">
        <f t="shared" si="104"/>
        <v>26544.56168292521</v>
      </c>
      <c r="Q277" s="461">
        <f t="shared" si="104"/>
        <v>13280</v>
      </c>
      <c r="R277" s="461">
        <f t="shared" si="104"/>
        <v>26556</v>
      </c>
      <c r="S277" s="461">
        <f t="shared" si="104"/>
        <v>26556</v>
      </c>
      <c r="T277" s="437">
        <f t="shared" si="100"/>
        <v>200.08618199999998</v>
      </c>
      <c r="U277" s="437">
        <f t="shared" si="101"/>
        <v>100</v>
      </c>
      <c r="V277" s="78"/>
      <c r="W277" s="78"/>
      <c r="X277" s="78"/>
      <c r="Y277" s="78"/>
      <c r="Z277" s="78"/>
      <c r="AA277" s="78"/>
      <c r="AB277" s="78"/>
    </row>
    <row r="278" spans="1:28" s="75" customFormat="1" ht="18.75" customHeight="1">
      <c r="A278" s="65" t="s">
        <v>482</v>
      </c>
      <c r="B278" s="65">
        <v>1</v>
      </c>
      <c r="C278" s="65"/>
      <c r="D278" s="65"/>
      <c r="E278" s="65"/>
      <c r="F278" s="65"/>
      <c r="G278" s="65"/>
      <c r="H278" s="65"/>
      <c r="I278" s="65"/>
      <c r="J278" s="257" t="s">
        <v>481</v>
      </c>
      <c r="K278" s="426">
        <v>3512</v>
      </c>
      <c r="L278" s="318" t="s">
        <v>385</v>
      </c>
      <c r="M278" s="460">
        <f>100000/7.5345</f>
        <v>13272.280841462605</v>
      </c>
      <c r="N278" s="460">
        <f>200000/7.5345</f>
        <v>26544.56168292521</v>
      </c>
      <c r="O278" s="460">
        <v>200000</v>
      </c>
      <c r="P278" s="460">
        <f>200000/7.5345</f>
        <v>26544.56168292521</v>
      </c>
      <c r="Q278" s="460">
        <v>13280</v>
      </c>
      <c r="R278" s="460">
        <v>26556</v>
      </c>
      <c r="S278" s="460">
        <v>26556</v>
      </c>
      <c r="T278" s="437">
        <f t="shared" si="100"/>
        <v>200.08618199999998</v>
      </c>
      <c r="U278" s="437">
        <f t="shared" si="101"/>
        <v>100</v>
      </c>
      <c r="V278" s="78"/>
      <c r="W278" s="78"/>
      <c r="X278" s="78"/>
      <c r="Y278" s="78"/>
      <c r="Z278" s="78"/>
      <c r="AA278" s="78"/>
      <c r="AB278" s="78"/>
    </row>
    <row r="279" spans="1:28" s="75" customFormat="1" ht="21" customHeight="1">
      <c r="A279" s="65" t="s">
        <v>482</v>
      </c>
      <c r="B279" s="65">
        <v>1</v>
      </c>
      <c r="C279" s="65"/>
      <c r="D279" s="65"/>
      <c r="E279" s="65"/>
      <c r="F279" s="65"/>
      <c r="G279" s="65"/>
      <c r="H279" s="65"/>
      <c r="I279" s="65"/>
      <c r="J279" s="257" t="s">
        <v>481</v>
      </c>
      <c r="K279" s="272">
        <v>4</v>
      </c>
      <c r="L279" s="273" t="s">
        <v>1</v>
      </c>
      <c r="M279" s="460">
        <f aca="true" t="shared" si="105" ref="M279:S279">M280</f>
        <v>37603.29152564868</v>
      </c>
      <c r="N279" s="460">
        <f t="shared" si="105"/>
        <v>13272.280841462605</v>
      </c>
      <c r="O279" s="461">
        <f t="shared" si="105"/>
        <v>13272.280841462605</v>
      </c>
      <c r="P279" s="461">
        <f t="shared" si="105"/>
        <v>13272.280841462605</v>
      </c>
      <c r="Q279" s="461">
        <f t="shared" si="105"/>
        <v>0</v>
      </c>
      <c r="R279" s="461">
        <f t="shared" si="105"/>
        <v>0</v>
      </c>
      <c r="S279" s="461">
        <f t="shared" si="105"/>
        <v>0</v>
      </c>
      <c r="T279" s="437">
        <f t="shared" si="100"/>
        <v>0</v>
      </c>
      <c r="U279" s="437" t="e">
        <f t="shared" si="101"/>
        <v>#DIV/0!</v>
      </c>
      <c r="V279" s="78"/>
      <c r="W279" s="78"/>
      <c r="X279" s="78"/>
      <c r="Y279" s="78"/>
      <c r="Z279" s="78"/>
      <c r="AA279" s="78"/>
      <c r="AB279" s="78"/>
    </row>
    <row r="280" spans="1:28" s="75" customFormat="1" ht="17.25" customHeight="1">
      <c r="A280" s="65" t="s">
        <v>482</v>
      </c>
      <c r="B280" s="65">
        <v>1</v>
      </c>
      <c r="C280" s="65"/>
      <c r="D280" s="65"/>
      <c r="E280" s="65"/>
      <c r="F280" s="65"/>
      <c r="G280" s="65"/>
      <c r="H280" s="65"/>
      <c r="I280" s="65"/>
      <c r="J280" s="257" t="s">
        <v>481</v>
      </c>
      <c r="K280" s="315">
        <v>42</v>
      </c>
      <c r="L280" s="341" t="s">
        <v>28</v>
      </c>
      <c r="M280" s="460">
        <f aca="true" t="shared" si="106" ref="M280:S280">M281+M283</f>
        <v>37603.29152564868</v>
      </c>
      <c r="N280" s="460">
        <f t="shared" si="106"/>
        <v>13272.280841462605</v>
      </c>
      <c r="O280" s="461">
        <f t="shared" si="106"/>
        <v>13272.280841462605</v>
      </c>
      <c r="P280" s="461">
        <f t="shared" si="106"/>
        <v>13272.280841462605</v>
      </c>
      <c r="Q280" s="461">
        <f t="shared" si="106"/>
        <v>0</v>
      </c>
      <c r="R280" s="461">
        <f t="shared" si="106"/>
        <v>0</v>
      </c>
      <c r="S280" s="461">
        <f t="shared" si="106"/>
        <v>0</v>
      </c>
      <c r="T280" s="437">
        <f t="shared" si="100"/>
        <v>0</v>
      </c>
      <c r="U280" s="437" t="e">
        <f t="shared" si="101"/>
        <v>#DIV/0!</v>
      </c>
      <c r="V280" s="78"/>
      <c r="W280" s="78"/>
      <c r="X280" s="78"/>
      <c r="Y280" s="78"/>
      <c r="Z280" s="78"/>
      <c r="AA280" s="78"/>
      <c r="AB280" s="78"/>
    </row>
    <row r="281" spans="1:28" s="75" customFormat="1" ht="27" customHeight="1">
      <c r="A281" s="65" t="s">
        <v>482</v>
      </c>
      <c r="B281" s="65">
        <v>1</v>
      </c>
      <c r="C281" s="65"/>
      <c r="D281" s="65"/>
      <c r="E281" s="65"/>
      <c r="F281" s="65"/>
      <c r="G281" s="65"/>
      <c r="H281" s="65"/>
      <c r="I281" s="65"/>
      <c r="J281" s="257" t="s">
        <v>481</v>
      </c>
      <c r="K281" s="306">
        <v>421</v>
      </c>
      <c r="L281" s="328" t="s">
        <v>13</v>
      </c>
      <c r="M281" s="460">
        <f>M282</f>
        <v>31548.609728581854</v>
      </c>
      <c r="N281" s="460">
        <v>0</v>
      </c>
      <c r="O281" s="460">
        <v>0</v>
      </c>
      <c r="P281" s="460">
        <v>0</v>
      </c>
      <c r="Q281" s="460">
        <v>0</v>
      </c>
      <c r="R281" s="460"/>
      <c r="S281" s="460"/>
      <c r="T281" s="437">
        <f t="shared" si="100"/>
        <v>0</v>
      </c>
      <c r="U281" s="437" t="e">
        <f t="shared" si="101"/>
        <v>#DIV/0!</v>
      </c>
      <c r="V281" s="78"/>
      <c r="W281" s="78"/>
      <c r="X281" s="78"/>
      <c r="Y281" s="78"/>
      <c r="Z281" s="78"/>
      <c r="AA281" s="78"/>
      <c r="AB281" s="78"/>
    </row>
    <row r="282" spans="1:28" s="75" customFormat="1" ht="27" customHeight="1">
      <c r="A282" s="65" t="s">
        <v>482</v>
      </c>
      <c r="B282" s="65">
        <v>2</v>
      </c>
      <c r="C282" s="65">
        <v>1</v>
      </c>
      <c r="D282" s="65"/>
      <c r="E282" s="65"/>
      <c r="F282" s="65"/>
      <c r="G282" s="65"/>
      <c r="H282" s="65"/>
      <c r="I282" s="65"/>
      <c r="J282" s="257" t="s">
        <v>481</v>
      </c>
      <c r="K282" s="537">
        <v>4212</v>
      </c>
      <c r="L282" s="341" t="s">
        <v>689</v>
      </c>
      <c r="M282" s="460">
        <f>237703/7.5345</f>
        <v>31548.609728581854</v>
      </c>
      <c r="N282" s="460"/>
      <c r="O282" s="460"/>
      <c r="P282" s="460"/>
      <c r="Q282" s="460"/>
      <c r="R282" s="460"/>
      <c r="S282" s="460"/>
      <c r="T282" s="437">
        <f t="shared" si="100"/>
        <v>0</v>
      </c>
      <c r="U282" s="437"/>
      <c r="V282" s="78"/>
      <c r="W282" s="78"/>
      <c r="X282" s="78"/>
      <c r="Y282" s="78"/>
      <c r="Z282" s="78"/>
      <c r="AA282" s="78"/>
      <c r="AB282" s="78"/>
    </row>
    <row r="283" spans="1:28" s="75" customFormat="1" ht="21" customHeight="1">
      <c r="A283" s="65" t="s">
        <v>482</v>
      </c>
      <c r="B283" s="65">
        <v>1</v>
      </c>
      <c r="C283" s="65"/>
      <c r="D283" s="65"/>
      <c r="E283" s="65"/>
      <c r="F283" s="65"/>
      <c r="G283" s="65"/>
      <c r="H283" s="65"/>
      <c r="I283" s="65"/>
      <c r="J283" s="257" t="s">
        <v>481</v>
      </c>
      <c r="K283" s="306">
        <v>422</v>
      </c>
      <c r="L283" s="328" t="s">
        <v>14</v>
      </c>
      <c r="M283" s="460">
        <f>M284+M285</f>
        <v>6054.681797066825</v>
      </c>
      <c r="N283" s="460">
        <f>N284+N285</f>
        <v>13272.280841462605</v>
      </c>
      <c r="O283" s="460">
        <f>O284</f>
        <v>13272.280841462605</v>
      </c>
      <c r="P283" s="460">
        <f>P284</f>
        <v>13272.280841462605</v>
      </c>
      <c r="Q283" s="460">
        <f>Q284</f>
        <v>0</v>
      </c>
      <c r="R283" s="460">
        <f>R284</f>
        <v>0</v>
      </c>
      <c r="S283" s="460">
        <f>S284</f>
        <v>0</v>
      </c>
      <c r="T283" s="437">
        <f t="shared" si="100"/>
        <v>0</v>
      </c>
      <c r="U283" s="437" t="e">
        <f t="shared" si="101"/>
        <v>#DIV/0!</v>
      </c>
      <c r="V283" s="78"/>
      <c r="W283" s="78"/>
      <c r="X283" s="78"/>
      <c r="Y283" s="78"/>
      <c r="Z283" s="78"/>
      <c r="AA283" s="78"/>
      <c r="AB283" s="78"/>
    </row>
    <row r="284" spans="1:28" s="75" customFormat="1" ht="28.5" customHeight="1">
      <c r="A284" s="65" t="s">
        <v>482</v>
      </c>
      <c r="B284" s="65">
        <v>1</v>
      </c>
      <c r="C284" s="65"/>
      <c r="D284" s="65"/>
      <c r="E284" s="65"/>
      <c r="F284" s="65"/>
      <c r="G284" s="65"/>
      <c r="H284" s="65"/>
      <c r="I284" s="65"/>
      <c r="J284" s="257" t="s">
        <v>481</v>
      </c>
      <c r="K284" s="226">
        <v>4227</v>
      </c>
      <c r="L284" s="332" t="s">
        <v>690</v>
      </c>
      <c r="M284" s="460">
        <f>12000/7.5345</f>
        <v>1592.6737009755125</v>
      </c>
      <c r="N284" s="460">
        <f>100000/7.5345</f>
        <v>13272.280841462605</v>
      </c>
      <c r="O284" s="460">
        <f>100000/7.5345</f>
        <v>13272.280841462605</v>
      </c>
      <c r="P284" s="460">
        <f>100000/7.5345</f>
        <v>13272.280841462605</v>
      </c>
      <c r="Q284" s="460">
        <v>0</v>
      </c>
      <c r="R284" s="460">
        <v>0</v>
      </c>
      <c r="S284" s="460"/>
      <c r="T284" s="437">
        <f t="shared" si="100"/>
        <v>0</v>
      </c>
      <c r="U284" s="437" t="e">
        <f t="shared" si="101"/>
        <v>#DIV/0!</v>
      </c>
      <c r="V284" s="78"/>
      <c r="W284" s="78"/>
      <c r="X284" s="78"/>
      <c r="Y284" s="78"/>
      <c r="Z284" s="78"/>
      <c r="AA284" s="78"/>
      <c r="AB284" s="78"/>
    </row>
    <row r="285" spans="1:28" s="75" customFormat="1" ht="21" customHeight="1">
      <c r="A285" s="65" t="s">
        <v>482</v>
      </c>
      <c r="B285" s="65">
        <v>1</v>
      </c>
      <c r="C285" s="65"/>
      <c r="D285" s="65"/>
      <c r="E285" s="65"/>
      <c r="F285" s="65"/>
      <c r="G285" s="65"/>
      <c r="H285" s="65"/>
      <c r="I285" s="65"/>
      <c r="J285" s="257" t="s">
        <v>481</v>
      </c>
      <c r="K285" s="226">
        <v>4227</v>
      </c>
      <c r="L285" s="345" t="s">
        <v>329</v>
      </c>
      <c r="M285" s="460">
        <f>33619/7.5345</f>
        <v>4462.008096091313</v>
      </c>
      <c r="N285" s="460"/>
      <c r="O285" s="460"/>
      <c r="P285" s="460"/>
      <c r="Q285" s="460"/>
      <c r="R285" s="460"/>
      <c r="S285" s="460"/>
      <c r="T285" s="437">
        <f t="shared" si="100"/>
        <v>0</v>
      </c>
      <c r="U285" s="437"/>
      <c r="V285" s="78"/>
      <c r="W285" s="78"/>
      <c r="X285" s="78"/>
      <c r="Y285" s="78"/>
      <c r="Z285" s="78"/>
      <c r="AA285" s="78"/>
      <c r="AB285" s="78"/>
    </row>
    <row r="286" spans="1:28" s="75" customFormat="1" ht="15" customHeight="1">
      <c r="A286" s="181"/>
      <c r="B286" s="181"/>
      <c r="C286" s="181"/>
      <c r="D286" s="181"/>
      <c r="E286" s="181"/>
      <c r="F286" s="181"/>
      <c r="G286" s="181"/>
      <c r="H286" s="181"/>
      <c r="I286" s="181"/>
      <c r="J286" s="182"/>
      <c r="K286" s="134"/>
      <c r="L286" s="383" t="s">
        <v>86</v>
      </c>
      <c r="M286" s="462">
        <f aca="true" t="shared" si="107" ref="M286:S286">M270+M279</f>
        <v>93413.63063242417</v>
      </c>
      <c r="N286" s="462">
        <f t="shared" si="107"/>
        <v>49771.05315548477</v>
      </c>
      <c r="O286" s="462">
        <f t="shared" si="107"/>
        <v>288272.2808414626</v>
      </c>
      <c r="P286" s="462">
        <f t="shared" si="107"/>
        <v>49771.05315548477</v>
      </c>
      <c r="Q286" s="462">
        <f t="shared" si="107"/>
        <v>13280</v>
      </c>
      <c r="R286" s="462">
        <f t="shared" si="107"/>
        <v>27156</v>
      </c>
      <c r="S286" s="462">
        <f t="shared" si="107"/>
        <v>27303.83</v>
      </c>
      <c r="T286" s="421">
        <f t="shared" si="100"/>
        <v>29.228957075267292</v>
      </c>
      <c r="U286" s="421">
        <f t="shared" si="101"/>
        <v>100.54437325084697</v>
      </c>
      <c r="V286" s="78"/>
      <c r="W286" s="78"/>
      <c r="X286" s="78"/>
      <c r="Y286" s="78"/>
      <c r="Z286" s="78"/>
      <c r="AA286" s="78"/>
      <c r="AB286" s="78"/>
    </row>
    <row r="287" spans="1:36" s="128" customFormat="1" ht="15" customHeight="1">
      <c r="A287" s="32"/>
      <c r="B287" s="32"/>
      <c r="C287" s="32"/>
      <c r="D287" s="32"/>
      <c r="E287" s="32"/>
      <c r="F287" s="32"/>
      <c r="G287" s="32"/>
      <c r="H287" s="32"/>
      <c r="I287" s="32"/>
      <c r="J287" s="223"/>
      <c r="K287" s="32"/>
      <c r="L287" s="59"/>
      <c r="M287" s="463"/>
      <c r="N287" s="463"/>
      <c r="O287" s="463"/>
      <c r="P287" s="463"/>
      <c r="Q287" s="463"/>
      <c r="R287" s="463"/>
      <c r="S287" s="463"/>
      <c r="T287" s="463"/>
      <c r="U287" s="463"/>
      <c r="V287" s="78"/>
      <c r="W287" s="78"/>
      <c r="X287" s="78"/>
      <c r="Y287" s="78"/>
      <c r="Z287" s="78"/>
      <c r="AA287" s="78"/>
      <c r="AB287" s="78"/>
      <c r="AC287" s="75"/>
      <c r="AD287" s="75"/>
      <c r="AE287" s="75"/>
      <c r="AF287" s="75"/>
      <c r="AG287" s="75"/>
      <c r="AH287" s="75"/>
      <c r="AI287" s="75"/>
      <c r="AJ287" s="75"/>
    </row>
    <row r="288" spans="1:36" s="224" customFormat="1" ht="33" customHeight="1">
      <c r="A288" s="183" t="s">
        <v>193</v>
      </c>
      <c r="B288" s="33"/>
      <c r="C288" s="33"/>
      <c r="D288" s="33"/>
      <c r="E288" s="33"/>
      <c r="F288" s="33"/>
      <c r="G288" s="33"/>
      <c r="H288" s="33"/>
      <c r="I288" s="33"/>
      <c r="J288" s="180"/>
      <c r="K288" s="79" t="s">
        <v>185</v>
      </c>
      <c r="L288" s="367" t="s">
        <v>547</v>
      </c>
      <c r="M288" s="459"/>
      <c r="N288" s="459"/>
      <c r="O288" s="459"/>
      <c r="P288" s="459"/>
      <c r="Q288" s="459"/>
      <c r="R288" s="459"/>
      <c r="S288" s="459"/>
      <c r="T288" s="459"/>
      <c r="U288" s="459"/>
      <c r="V288" s="78"/>
      <c r="W288" s="78"/>
      <c r="X288" s="78"/>
      <c r="Y288" s="78"/>
      <c r="Z288" s="78"/>
      <c r="AA288" s="78"/>
      <c r="AB288" s="78"/>
      <c r="AC288" s="78"/>
      <c r="AD288" s="78"/>
      <c r="AE288" s="78"/>
      <c r="AF288" s="78"/>
      <c r="AG288" s="78"/>
      <c r="AH288" s="78"/>
      <c r="AI288" s="78"/>
      <c r="AJ288" s="78"/>
    </row>
    <row r="289" spans="1:36" s="224" customFormat="1" ht="16.5" customHeight="1">
      <c r="A289" s="65" t="s">
        <v>558</v>
      </c>
      <c r="B289" s="65">
        <v>1</v>
      </c>
      <c r="C289" s="65"/>
      <c r="D289" s="65"/>
      <c r="E289" s="65"/>
      <c r="F289" s="65"/>
      <c r="G289" s="65"/>
      <c r="H289" s="65"/>
      <c r="I289" s="65"/>
      <c r="J289" s="257" t="s">
        <v>481</v>
      </c>
      <c r="K289" s="315">
        <v>3</v>
      </c>
      <c r="L289" s="335" t="s">
        <v>0</v>
      </c>
      <c r="M289" s="460">
        <f aca="true" t="shared" si="108" ref="M289:S291">M290</f>
        <v>1629.8360873316078</v>
      </c>
      <c r="N289" s="460">
        <f t="shared" si="108"/>
        <v>2654.456168292521</v>
      </c>
      <c r="O289" s="461">
        <f t="shared" si="108"/>
        <v>20000</v>
      </c>
      <c r="P289" s="461">
        <f t="shared" si="108"/>
        <v>2654.456168292521</v>
      </c>
      <c r="Q289" s="461">
        <f t="shared" si="108"/>
        <v>0</v>
      </c>
      <c r="R289" s="461">
        <f t="shared" si="108"/>
        <v>0</v>
      </c>
      <c r="S289" s="461">
        <f t="shared" si="108"/>
        <v>0</v>
      </c>
      <c r="T289" s="437">
        <f>S289/M289*100</f>
        <v>0</v>
      </c>
      <c r="U289" s="437" t="e">
        <f>S289/R289*100</f>
        <v>#DIV/0!</v>
      </c>
      <c r="V289" s="78"/>
      <c r="W289" s="78"/>
      <c r="X289" s="78"/>
      <c r="Y289" s="78"/>
      <c r="Z289" s="78"/>
      <c r="AA289" s="78"/>
      <c r="AB289" s="78"/>
      <c r="AC289" s="78"/>
      <c r="AD289" s="78"/>
      <c r="AE289" s="78"/>
      <c r="AF289" s="78"/>
      <c r="AG289" s="78"/>
      <c r="AH289" s="78"/>
      <c r="AI289" s="78"/>
      <c r="AJ289" s="78"/>
    </row>
    <row r="290" spans="1:36" s="224" customFormat="1" ht="15">
      <c r="A290" s="65" t="s">
        <v>558</v>
      </c>
      <c r="B290" s="65">
        <v>1</v>
      </c>
      <c r="C290" s="65"/>
      <c r="D290" s="65"/>
      <c r="E290" s="65"/>
      <c r="F290" s="65"/>
      <c r="G290" s="65"/>
      <c r="H290" s="65"/>
      <c r="I290" s="65"/>
      <c r="J290" s="257" t="s">
        <v>481</v>
      </c>
      <c r="K290" s="315">
        <v>32</v>
      </c>
      <c r="L290" s="335" t="s">
        <v>5</v>
      </c>
      <c r="M290" s="460">
        <f t="shared" si="108"/>
        <v>1629.8360873316078</v>
      </c>
      <c r="N290" s="460">
        <f t="shared" si="108"/>
        <v>2654.456168292521</v>
      </c>
      <c r="O290" s="461">
        <f t="shared" si="108"/>
        <v>20000</v>
      </c>
      <c r="P290" s="461">
        <f t="shared" si="108"/>
        <v>2654.456168292521</v>
      </c>
      <c r="Q290" s="461">
        <f t="shared" si="108"/>
        <v>0</v>
      </c>
      <c r="R290" s="461">
        <f t="shared" si="108"/>
        <v>0</v>
      </c>
      <c r="S290" s="461">
        <f t="shared" si="108"/>
        <v>0</v>
      </c>
      <c r="T290" s="437">
        <f aca="true" t="shared" si="109" ref="T290:T301">S290/M290*100</f>
        <v>0</v>
      </c>
      <c r="U290" s="437" t="e">
        <f aca="true" t="shared" si="110" ref="U290:U301">S290/R290*100</f>
        <v>#DIV/0!</v>
      </c>
      <c r="V290" s="78"/>
      <c r="W290" s="78"/>
      <c r="X290" s="78"/>
      <c r="Y290" s="78"/>
      <c r="Z290" s="78"/>
      <c r="AA290" s="78"/>
      <c r="AB290" s="78"/>
      <c r="AC290" s="78"/>
      <c r="AD290" s="78"/>
      <c r="AE290" s="78"/>
      <c r="AF290" s="78"/>
      <c r="AG290" s="78"/>
      <c r="AH290" s="78"/>
      <c r="AI290" s="78"/>
      <c r="AJ290" s="78"/>
    </row>
    <row r="291" spans="1:36" s="224" customFormat="1" ht="15" hidden="1">
      <c r="A291" s="65" t="s">
        <v>558</v>
      </c>
      <c r="B291" s="65">
        <v>1</v>
      </c>
      <c r="C291" s="65"/>
      <c r="D291" s="65"/>
      <c r="E291" s="65"/>
      <c r="F291" s="65"/>
      <c r="G291" s="65"/>
      <c r="H291" s="65"/>
      <c r="I291" s="65"/>
      <c r="J291" s="257" t="s">
        <v>481</v>
      </c>
      <c r="K291" s="315">
        <v>323</v>
      </c>
      <c r="L291" s="335" t="s">
        <v>7</v>
      </c>
      <c r="M291" s="460">
        <f t="shared" si="108"/>
        <v>1629.8360873316078</v>
      </c>
      <c r="N291" s="460">
        <f t="shared" si="108"/>
        <v>2654.456168292521</v>
      </c>
      <c r="O291" s="461">
        <f t="shared" si="108"/>
        <v>20000</v>
      </c>
      <c r="P291" s="461">
        <f t="shared" si="108"/>
        <v>2654.456168292521</v>
      </c>
      <c r="Q291" s="461">
        <f t="shared" si="108"/>
        <v>0</v>
      </c>
      <c r="R291" s="461"/>
      <c r="S291" s="461"/>
      <c r="T291" s="437">
        <f t="shared" si="109"/>
        <v>0</v>
      </c>
      <c r="U291" s="437" t="e">
        <f t="shared" si="110"/>
        <v>#DIV/0!</v>
      </c>
      <c r="V291" s="78"/>
      <c r="W291" s="78"/>
      <c r="X291" s="78"/>
      <c r="Y291" s="78"/>
      <c r="Z291" s="78"/>
      <c r="AA291" s="78"/>
      <c r="AB291" s="78"/>
      <c r="AC291" s="78"/>
      <c r="AD291" s="78"/>
      <c r="AE291" s="78"/>
      <c r="AF291" s="78"/>
      <c r="AG291" s="78"/>
      <c r="AH291" s="78"/>
      <c r="AI291" s="78"/>
      <c r="AJ291" s="78"/>
    </row>
    <row r="292" spans="1:36" s="224" customFormat="1" ht="19.5" customHeight="1">
      <c r="A292" s="65" t="s">
        <v>558</v>
      </c>
      <c r="B292" s="65">
        <v>1</v>
      </c>
      <c r="C292" s="65"/>
      <c r="D292" s="65"/>
      <c r="E292" s="65"/>
      <c r="F292" s="65"/>
      <c r="G292" s="65"/>
      <c r="H292" s="65"/>
      <c r="I292" s="65"/>
      <c r="J292" s="257" t="s">
        <v>481</v>
      </c>
      <c r="K292" s="226">
        <v>3239</v>
      </c>
      <c r="L292" s="330" t="s">
        <v>71</v>
      </c>
      <c r="M292" s="460">
        <f>12280/7.5345</f>
        <v>1629.8360873316078</v>
      </c>
      <c r="N292" s="460">
        <f>20000/7.5345</f>
        <v>2654.456168292521</v>
      </c>
      <c r="O292" s="460">
        <v>20000</v>
      </c>
      <c r="P292" s="460">
        <f>20000/7.5345</f>
        <v>2654.456168292521</v>
      </c>
      <c r="Q292" s="460">
        <v>0</v>
      </c>
      <c r="R292" s="460"/>
      <c r="S292" s="460"/>
      <c r="T292" s="437">
        <f t="shared" si="109"/>
        <v>0</v>
      </c>
      <c r="U292" s="437" t="e">
        <f t="shared" si="110"/>
        <v>#DIV/0!</v>
      </c>
      <c r="V292" s="78"/>
      <c r="W292" s="78"/>
      <c r="X292" s="78"/>
      <c r="Y292" s="78"/>
      <c r="Z292" s="78"/>
      <c r="AA292" s="78"/>
      <c r="AB292" s="78"/>
      <c r="AC292" s="78"/>
      <c r="AD292" s="78"/>
      <c r="AE292" s="78"/>
      <c r="AF292" s="78"/>
      <c r="AG292" s="78"/>
      <c r="AH292" s="78"/>
      <c r="AI292" s="78"/>
      <c r="AJ292" s="78"/>
    </row>
    <row r="293" spans="1:36" s="224" customFormat="1" ht="15.75">
      <c r="A293" s="65" t="s">
        <v>558</v>
      </c>
      <c r="B293" s="65">
        <v>1</v>
      </c>
      <c r="C293" s="65"/>
      <c r="D293" s="65"/>
      <c r="E293" s="65"/>
      <c r="F293" s="65"/>
      <c r="G293" s="65"/>
      <c r="H293" s="65"/>
      <c r="I293" s="65"/>
      <c r="J293" s="257" t="s">
        <v>481</v>
      </c>
      <c r="K293" s="272">
        <v>4</v>
      </c>
      <c r="L293" s="273" t="s">
        <v>1</v>
      </c>
      <c r="M293" s="460">
        <f aca="true" t="shared" si="111" ref="M293:S293">M294</f>
        <v>47613.24573627977</v>
      </c>
      <c r="N293" s="460">
        <f t="shared" si="111"/>
        <v>26544.56168292521</v>
      </c>
      <c r="O293" s="461">
        <f t="shared" si="111"/>
        <v>197982</v>
      </c>
      <c r="P293" s="461">
        <f t="shared" si="111"/>
        <v>46397.280841462605</v>
      </c>
      <c r="Q293" s="461">
        <f t="shared" si="111"/>
        <v>0</v>
      </c>
      <c r="R293" s="461">
        <f t="shared" si="111"/>
        <v>32048.75</v>
      </c>
      <c r="S293" s="461">
        <f t="shared" si="111"/>
        <v>32048.75</v>
      </c>
      <c r="T293" s="437">
        <f t="shared" si="109"/>
        <v>67.31057608950167</v>
      </c>
      <c r="U293" s="437">
        <f t="shared" si="110"/>
        <v>100</v>
      </c>
      <c r="V293" s="78"/>
      <c r="W293" s="78"/>
      <c r="X293" s="78"/>
      <c r="Y293" s="78"/>
      <c r="Z293" s="78"/>
      <c r="AA293" s="78"/>
      <c r="AB293" s="78"/>
      <c r="AC293" s="78"/>
      <c r="AD293" s="78"/>
      <c r="AE293" s="78"/>
      <c r="AF293" s="78"/>
      <c r="AG293" s="78"/>
      <c r="AH293" s="78"/>
      <c r="AI293" s="78"/>
      <c r="AJ293" s="78"/>
    </row>
    <row r="294" spans="1:36" s="224" customFormat="1" ht="17.25" customHeight="1">
      <c r="A294" s="65" t="s">
        <v>558</v>
      </c>
      <c r="B294" s="65">
        <v>1</v>
      </c>
      <c r="C294" s="65"/>
      <c r="D294" s="65"/>
      <c r="E294" s="65"/>
      <c r="F294" s="65"/>
      <c r="G294" s="65"/>
      <c r="H294" s="65"/>
      <c r="I294" s="65"/>
      <c r="J294" s="257" t="s">
        <v>481</v>
      </c>
      <c r="K294" s="315">
        <v>42</v>
      </c>
      <c r="L294" s="328" t="s">
        <v>28</v>
      </c>
      <c r="M294" s="460">
        <f aca="true" t="shared" si="112" ref="M294:S294">M295+M298</f>
        <v>47613.24573627977</v>
      </c>
      <c r="N294" s="460">
        <f t="shared" si="112"/>
        <v>26544.56168292521</v>
      </c>
      <c r="O294" s="461">
        <f t="shared" si="112"/>
        <v>197982</v>
      </c>
      <c r="P294" s="461">
        <f t="shared" si="112"/>
        <v>46397.280841462605</v>
      </c>
      <c r="Q294" s="461">
        <f t="shared" si="112"/>
        <v>0</v>
      </c>
      <c r="R294" s="461">
        <f t="shared" si="112"/>
        <v>32048.75</v>
      </c>
      <c r="S294" s="461">
        <f t="shared" si="112"/>
        <v>32048.75</v>
      </c>
      <c r="T294" s="437">
        <f t="shared" si="109"/>
        <v>67.31057608950167</v>
      </c>
      <c r="U294" s="437">
        <f t="shared" si="110"/>
        <v>100</v>
      </c>
      <c r="V294" s="78"/>
      <c r="W294" s="78"/>
      <c r="X294" s="78"/>
      <c r="Y294" s="78"/>
      <c r="Z294" s="78"/>
      <c r="AA294" s="78"/>
      <c r="AB294" s="78"/>
      <c r="AC294" s="78"/>
      <c r="AD294" s="78"/>
      <c r="AE294" s="78"/>
      <c r="AF294" s="78"/>
      <c r="AG294" s="78"/>
      <c r="AH294" s="78"/>
      <c r="AI294" s="78"/>
      <c r="AJ294" s="78"/>
    </row>
    <row r="295" spans="1:36" s="224" customFormat="1" ht="18.75" customHeight="1">
      <c r="A295" s="65" t="s">
        <v>558</v>
      </c>
      <c r="B295" s="65">
        <v>1</v>
      </c>
      <c r="C295" s="65"/>
      <c r="D295" s="65"/>
      <c r="E295" s="65"/>
      <c r="F295" s="65"/>
      <c r="G295" s="65"/>
      <c r="H295" s="65"/>
      <c r="I295" s="65"/>
      <c r="J295" s="257" t="s">
        <v>481</v>
      </c>
      <c r="K295" s="315">
        <v>421</v>
      </c>
      <c r="L295" s="328" t="s">
        <v>13</v>
      </c>
      <c r="M295" s="460">
        <f aca="true" t="shared" si="113" ref="M295:S295">M296</f>
        <v>41244.93994292919</v>
      </c>
      <c r="N295" s="460">
        <f t="shared" si="113"/>
        <v>13272.280841462605</v>
      </c>
      <c r="O295" s="461">
        <f t="shared" si="113"/>
        <v>100000</v>
      </c>
      <c r="P295" s="461">
        <f t="shared" si="113"/>
        <v>13272.280841462605</v>
      </c>
      <c r="Q295" s="461">
        <f t="shared" si="113"/>
        <v>0</v>
      </c>
      <c r="R295" s="461">
        <f t="shared" si="113"/>
        <v>0</v>
      </c>
      <c r="S295" s="461">
        <f t="shared" si="113"/>
        <v>0</v>
      </c>
      <c r="T295" s="437">
        <f t="shared" si="109"/>
        <v>0</v>
      </c>
      <c r="U295" s="437" t="e">
        <f t="shared" si="110"/>
        <v>#DIV/0!</v>
      </c>
      <c r="V295" s="78"/>
      <c r="W295" s="78"/>
      <c r="X295" s="78"/>
      <c r="Y295" s="78"/>
      <c r="Z295" s="78"/>
      <c r="AA295" s="78"/>
      <c r="AB295" s="78"/>
      <c r="AC295" s="78"/>
      <c r="AD295" s="78"/>
      <c r="AE295" s="78"/>
      <c r="AF295" s="78"/>
      <c r="AG295" s="78"/>
      <c r="AH295" s="78"/>
      <c r="AI295" s="78"/>
      <c r="AJ295" s="78"/>
    </row>
    <row r="296" spans="1:36" s="224" customFormat="1" ht="33.75" customHeight="1">
      <c r="A296" s="65" t="s">
        <v>558</v>
      </c>
      <c r="B296" s="65">
        <v>1</v>
      </c>
      <c r="C296" s="65"/>
      <c r="D296" s="65"/>
      <c r="E296" s="65"/>
      <c r="F296" s="65"/>
      <c r="G296" s="65"/>
      <c r="H296" s="65"/>
      <c r="I296" s="65"/>
      <c r="J296" s="257" t="s">
        <v>481</v>
      </c>
      <c r="K296" s="226">
        <v>4214</v>
      </c>
      <c r="L296" s="330" t="s">
        <v>552</v>
      </c>
      <c r="M296" s="460">
        <f>310760/7.5345</f>
        <v>41244.93994292919</v>
      </c>
      <c r="N296" s="460">
        <f>100000/7.5345</f>
        <v>13272.280841462605</v>
      </c>
      <c r="O296" s="460">
        <v>100000</v>
      </c>
      <c r="P296" s="460">
        <f>100000/7.5345</f>
        <v>13272.280841462605</v>
      </c>
      <c r="Q296" s="460">
        <v>0</v>
      </c>
      <c r="R296" s="460">
        <v>0</v>
      </c>
      <c r="S296" s="460"/>
      <c r="T296" s="437">
        <f t="shared" si="109"/>
        <v>0</v>
      </c>
      <c r="U296" s="437" t="e">
        <f t="shared" si="110"/>
        <v>#DIV/0!</v>
      </c>
      <c r="V296" s="78"/>
      <c r="W296" s="78"/>
      <c r="X296" s="78"/>
      <c r="Y296" s="78"/>
      <c r="Z296" s="78"/>
      <c r="AA296" s="78"/>
      <c r="AB296" s="78"/>
      <c r="AC296" s="78"/>
      <c r="AD296" s="78"/>
      <c r="AE296" s="78"/>
      <c r="AF296" s="78"/>
      <c r="AG296" s="78"/>
      <c r="AH296" s="78"/>
      <c r="AI296" s="78"/>
      <c r="AJ296" s="78"/>
    </row>
    <row r="297" spans="1:36" s="224" customFormat="1" ht="29.25" customHeight="1" hidden="1">
      <c r="A297" s="65"/>
      <c r="B297" s="65"/>
      <c r="C297" s="65"/>
      <c r="D297" s="65"/>
      <c r="E297" s="65"/>
      <c r="F297" s="65"/>
      <c r="G297" s="65"/>
      <c r="H297" s="65"/>
      <c r="I297" s="65"/>
      <c r="J297" s="257"/>
      <c r="K297" s="226"/>
      <c r="L297" s="330" t="s">
        <v>672</v>
      </c>
      <c r="M297" s="460"/>
      <c r="N297" s="460"/>
      <c r="O297" s="460"/>
      <c r="P297" s="460"/>
      <c r="Q297" s="460"/>
      <c r="R297" s="460">
        <v>0</v>
      </c>
      <c r="S297" s="460"/>
      <c r="T297" s="437" t="e">
        <f t="shared" si="109"/>
        <v>#DIV/0!</v>
      </c>
      <c r="U297" s="437" t="e">
        <f t="shared" si="110"/>
        <v>#DIV/0!</v>
      </c>
      <c r="V297" s="518" t="s">
        <v>673</v>
      </c>
      <c r="W297" s="518"/>
      <c r="X297" s="78"/>
      <c r="Y297" s="78"/>
      <c r="Z297" s="78"/>
      <c r="AA297" s="78"/>
      <c r="AB297" s="78"/>
      <c r="AC297" s="78"/>
      <c r="AD297" s="78"/>
      <c r="AE297" s="78"/>
      <c r="AF297" s="78"/>
      <c r="AG297" s="78"/>
      <c r="AH297" s="78"/>
      <c r="AI297" s="78"/>
      <c r="AJ297" s="78"/>
    </row>
    <row r="298" spans="1:36" s="224" customFormat="1" ht="27" customHeight="1">
      <c r="A298" s="65" t="s">
        <v>558</v>
      </c>
      <c r="B298" s="65">
        <v>1</v>
      </c>
      <c r="C298" s="65"/>
      <c r="D298" s="65"/>
      <c r="E298" s="65"/>
      <c r="F298" s="65"/>
      <c r="G298" s="65"/>
      <c r="H298" s="65"/>
      <c r="I298" s="65"/>
      <c r="J298" s="257" t="s">
        <v>481</v>
      </c>
      <c r="K298" s="315">
        <v>422</v>
      </c>
      <c r="L298" s="335" t="s">
        <v>14</v>
      </c>
      <c r="M298" s="460">
        <f aca="true" t="shared" si="114" ref="M298:S298">M299+M300</f>
        <v>6368.305793350587</v>
      </c>
      <c r="N298" s="460">
        <f t="shared" si="114"/>
        <v>13272.280841462605</v>
      </c>
      <c r="O298" s="461">
        <f t="shared" si="114"/>
        <v>97982</v>
      </c>
      <c r="P298" s="461">
        <f t="shared" si="114"/>
        <v>33125</v>
      </c>
      <c r="Q298" s="461">
        <f t="shared" si="114"/>
        <v>0</v>
      </c>
      <c r="R298" s="461">
        <f t="shared" si="114"/>
        <v>32048.75</v>
      </c>
      <c r="S298" s="461">
        <f t="shared" si="114"/>
        <v>32048.75</v>
      </c>
      <c r="T298" s="437">
        <f t="shared" si="109"/>
        <v>503.2539428848319</v>
      </c>
      <c r="U298" s="437">
        <f t="shared" si="110"/>
        <v>100</v>
      </c>
      <c r="V298" s="78"/>
      <c r="W298" s="78"/>
      <c r="X298" s="78"/>
      <c r="Y298" s="78"/>
      <c r="Z298" s="78"/>
      <c r="AA298" s="78"/>
      <c r="AB298" s="78"/>
      <c r="AC298" s="78"/>
      <c r="AD298" s="78"/>
      <c r="AE298" s="78"/>
      <c r="AF298" s="78"/>
      <c r="AG298" s="78"/>
      <c r="AH298" s="78"/>
      <c r="AI298" s="78"/>
      <c r="AJ298" s="78"/>
    </row>
    <row r="299" spans="1:36" s="224" customFormat="1" ht="31.5" customHeight="1">
      <c r="A299" s="65" t="s">
        <v>558</v>
      </c>
      <c r="B299" s="65">
        <v>1</v>
      </c>
      <c r="C299" s="65"/>
      <c r="D299" s="65"/>
      <c r="E299" s="65"/>
      <c r="F299" s="65"/>
      <c r="G299" s="65"/>
      <c r="H299" s="65"/>
      <c r="I299" s="65"/>
      <c r="J299" s="257" t="s">
        <v>481</v>
      </c>
      <c r="K299" s="42">
        <v>4227</v>
      </c>
      <c r="L299" s="352" t="s">
        <v>548</v>
      </c>
      <c r="M299" s="464"/>
      <c r="N299" s="464">
        <f>100000/7.5345</f>
        <v>13272.280841462605</v>
      </c>
      <c r="O299" s="464">
        <v>50000</v>
      </c>
      <c r="P299" s="503">
        <v>33125</v>
      </c>
      <c r="Q299" s="464">
        <v>0</v>
      </c>
      <c r="R299" s="464">
        <v>32048.75</v>
      </c>
      <c r="S299" s="464">
        <v>32048.75</v>
      </c>
      <c r="T299" s="437" t="e">
        <f t="shared" si="109"/>
        <v>#DIV/0!</v>
      </c>
      <c r="U299" s="437">
        <f t="shared" si="110"/>
        <v>100</v>
      </c>
      <c r="V299" s="78"/>
      <c r="W299" s="78"/>
      <c r="X299" s="78"/>
      <c r="Y299" s="78"/>
      <c r="Z299" s="78"/>
      <c r="AA299" s="78"/>
      <c r="AB299" s="78"/>
      <c r="AC299" s="78"/>
      <c r="AD299" s="78"/>
      <c r="AE299" s="78"/>
      <c r="AF299" s="78"/>
      <c r="AG299" s="78"/>
      <c r="AH299" s="78"/>
      <c r="AI299" s="78"/>
      <c r="AJ299" s="78"/>
    </row>
    <row r="300" spans="1:36" s="224" customFormat="1" ht="27.75" customHeight="1">
      <c r="A300" s="65" t="s">
        <v>558</v>
      </c>
      <c r="B300" s="65">
        <v>1</v>
      </c>
      <c r="C300" s="65"/>
      <c r="D300" s="65"/>
      <c r="E300" s="65"/>
      <c r="F300" s="65"/>
      <c r="G300" s="65"/>
      <c r="H300" s="65"/>
      <c r="I300" s="65"/>
      <c r="J300" s="257" t="s">
        <v>481</v>
      </c>
      <c r="K300" s="42">
        <v>4227</v>
      </c>
      <c r="L300" s="345" t="s">
        <v>329</v>
      </c>
      <c r="M300" s="464">
        <f>47982/7.5345</f>
        <v>6368.305793350587</v>
      </c>
      <c r="N300" s="464">
        <v>0</v>
      </c>
      <c r="O300" s="464">
        <v>47982</v>
      </c>
      <c r="P300" s="464">
        <v>0</v>
      </c>
      <c r="Q300" s="464">
        <v>0</v>
      </c>
      <c r="R300" s="464">
        <v>0</v>
      </c>
      <c r="S300" s="464"/>
      <c r="T300" s="437">
        <f t="shared" si="109"/>
        <v>0</v>
      </c>
      <c r="U300" s="437" t="e">
        <f t="shared" si="110"/>
        <v>#DIV/0!</v>
      </c>
      <c r="V300" s="78"/>
      <c r="W300" s="78"/>
      <c r="X300" s="78"/>
      <c r="Y300" s="78"/>
      <c r="Z300" s="78"/>
      <c r="AA300" s="78"/>
      <c r="AB300" s="78"/>
      <c r="AC300" s="78"/>
      <c r="AD300" s="78"/>
      <c r="AE300" s="78"/>
      <c r="AF300" s="78"/>
      <c r="AG300" s="78"/>
      <c r="AH300" s="78"/>
      <c r="AI300" s="78"/>
      <c r="AJ300" s="78"/>
    </row>
    <row r="301" spans="1:36" s="224" customFormat="1" ht="32.25" customHeight="1">
      <c r="A301" s="181"/>
      <c r="B301" s="181"/>
      <c r="C301" s="181"/>
      <c r="D301" s="181"/>
      <c r="E301" s="181"/>
      <c r="F301" s="181"/>
      <c r="G301" s="181"/>
      <c r="H301" s="181"/>
      <c r="I301" s="181"/>
      <c r="J301" s="182"/>
      <c r="K301" s="134"/>
      <c r="L301" s="383" t="s">
        <v>86</v>
      </c>
      <c r="M301" s="462">
        <f aca="true" t="shared" si="115" ref="M301:S301">M289+M293</f>
        <v>49243.08182361138</v>
      </c>
      <c r="N301" s="462">
        <f t="shared" si="115"/>
        <v>29199.01785121773</v>
      </c>
      <c r="O301" s="462">
        <f t="shared" si="115"/>
        <v>217982</v>
      </c>
      <c r="P301" s="462">
        <f t="shared" si="115"/>
        <v>49051.737009755125</v>
      </c>
      <c r="Q301" s="462">
        <f t="shared" si="115"/>
        <v>0</v>
      </c>
      <c r="R301" s="462">
        <f t="shared" si="115"/>
        <v>32048.75</v>
      </c>
      <c r="S301" s="462">
        <f t="shared" si="115"/>
        <v>32048.75</v>
      </c>
      <c r="T301" s="421">
        <f t="shared" si="109"/>
        <v>65.08274627245825</v>
      </c>
      <c r="U301" s="421">
        <f t="shared" si="110"/>
        <v>100</v>
      </c>
      <c r="V301" s="78"/>
      <c r="W301" s="78"/>
      <c r="X301" s="78"/>
      <c r="Y301" s="78"/>
      <c r="Z301" s="78"/>
      <c r="AA301" s="78"/>
      <c r="AB301" s="78"/>
      <c r="AC301" s="78"/>
      <c r="AD301" s="78"/>
      <c r="AE301" s="78"/>
      <c r="AF301" s="78"/>
      <c r="AG301" s="78"/>
      <c r="AH301" s="78"/>
      <c r="AI301" s="78"/>
      <c r="AJ301" s="78"/>
    </row>
    <row r="302" spans="1:36" s="224" customFormat="1" ht="15.75">
      <c r="A302" s="65"/>
      <c r="B302" s="65"/>
      <c r="C302" s="65"/>
      <c r="D302" s="65"/>
      <c r="E302" s="65"/>
      <c r="F302" s="65"/>
      <c r="G302" s="65"/>
      <c r="H302" s="65"/>
      <c r="I302" s="65"/>
      <c r="J302" s="65"/>
      <c r="K302" s="31"/>
      <c r="L302" s="58"/>
      <c r="M302" s="463"/>
      <c r="N302" s="463"/>
      <c r="O302" s="463"/>
      <c r="P302" s="463"/>
      <c r="Q302" s="463"/>
      <c r="R302" s="463"/>
      <c r="S302" s="463"/>
      <c r="T302" s="463"/>
      <c r="U302" s="463"/>
      <c r="V302" s="78"/>
      <c r="W302" s="78"/>
      <c r="X302" s="78"/>
      <c r="Y302" s="78"/>
      <c r="Z302" s="78"/>
      <c r="AA302" s="78"/>
      <c r="AB302" s="78"/>
      <c r="AC302" s="78"/>
      <c r="AD302" s="78"/>
      <c r="AE302" s="78"/>
      <c r="AF302" s="78"/>
      <c r="AG302" s="78"/>
      <c r="AH302" s="78"/>
      <c r="AI302" s="78"/>
      <c r="AJ302" s="78"/>
    </row>
    <row r="303" spans="1:36" s="224" customFormat="1" ht="15.75">
      <c r="A303" s="65"/>
      <c r="B303" s="65"/>
      <c r="C303" s="65"/>
      <c r="D303" s="65"/>
      <c r="E303" s="65"/>
      <c r="F303" s="65"/>
      <c r="G303" s="65"/>
      <c r="H303" s="65"/>
      <c r="I303" s="65"/>
      <c r="J303" s="65"/>
      <c r="K303" s="31"/>
      <c r="L303" s="58"/>
      <c r="M303" s="463"/>
      <c r="N303" s="463"/>
      <c r="O303" s="463"/>
      <c r="P303" s="463"/>
      <c r="Q303" s="463"/>
      <c r="R303" s="463"/>
      <c r="S303" s="463"/>
      <c r="T303" s="463"/>
      <c r="U303" s="463"/>
      <c r="V303" s="78"/>
      <c r="W303" s="78"/>
      <c r="X303" s="78"/>
      <c r="Y303" s="78"/>
      <c r="Z303" s="78"/>
      <c r="AA303" s="78"/>
      <c r="AB303" s="78"/>
      <c r="AC303" s="78"/>
      <c r="AD303" s="78"/>
      <c r="AE303" s="78"/>
      <c r="AF303" s="78"/>
      <c r="AG303" s="78"/>
      <c r="AH303" s="78"/>
      <c r="AI303" s="78"/>
      <c r="AJ303" s="78"/>
    </row>
    <row r="304" spans="1:36" s="224" customFormat="1" ht="15.75" customHeight="1">
      <c r="A304" s="79" t="s">
        <v>198</v>
      </c>
      <c r="B304" s="79"/>
      <c r="C304" s="79"/>
      <c r="D304" s="79"/>
      <c r="E304" s="79"/>
      <c r="F304" s="79"/>
      <c r="G304" s="79"/>
      <c r="H304" s="79"/>
      <c r="I304" s="79"/>
      <c r="J304" s="184"/>
      <c r="K304" s="41" t="s">
        <v>197</v>
      </c>
      <c r="L304" s="227" t="s">
        <v>470</v>
      </c>
      <c r="M304" s="430"/>
      <c r="N304" s="430"/>
      <c r="O304" s="430"/>
      <c r="P304" s="430"/>
      <c r="Q304" s="430"/>
      <c r="R304" s="430"/>
      <c r="S304" s="430"/>
      <c r="T304" s="430"/>
      <c r="U304" s="430"/>
      <c r="V304" s="78"/>
      <c r="W304" s="78"/>
      <c r="X304" s="78"/>
      <c r="Y304" s="78"/>
      <c r="Z304" s="78"/>
      <c r="AA304" s="78"/>
      <c r="AB304" s="78"/>
      <c r="AC304" s="78"/>
      <c r="AD304" s="78"/>
      <c r="AE304" s="78"/>
      <c r="AF304" s="78"/>
      <c r="AG304" s="78"/>
      <c r="AH304" s="78"/>
      <c r="AI304" s="78"/>
      <c r="AJ304" s="78"/>
    </row>
    <row r="305" spans="1:36" s="212" customFormat="1" ht="15" customHeight="1">
      <c r="A305" s="79" t="s">
        <v>199</v>
      </c>
      <c r="B305" s="79"/>
      <c r="C305" s="79"/>
      <c r="D305" s="79"/>
      <c r="E305" s="79"/>
      <c r="F305" s="79"/>
      <c r="G305" s="79"/>
      <c r="H305" s="79"/>
      <c r="I305" s="79"/>
      <c r="J305" s="184"/>
      <c r="K305" s="41" t="s">
        <v>353</v>
      </c>
      <c r="L305" s="227"/>
      <c r="M305" s="430"/>
      <c r="N305" s="430"/>
      <c r="O305" s="430"/>
      <c r="P305" s="430"/>
      <c r="Q305" s="430"/>
      <c r="R305" s="430"/>
      <c r="S305" s="430"/>
      <c r="T305" s="430"/>
      <c r="U305" s="430"/>
      <c r="V305" s="78"/>
      <c r="W305" s="78"/>
      <c r="X305" s="78"/>
      <c r="Y305" s="78"/>
      <c r="Z305" s="78"/>
      <c r="AA305" s="78"/>
      <c r="AB305" s="78"/>
      <c r="AC305" s="78"/>
      <c r="AD305" s="78"/>
      <c r="AE305" s="78"/>
      <c r="AF305" s="78"/>
      <c r="AG305" s="78"/>
      <c r="AH305" s="78"/>
      <c r="AI305" s="78"/>
      <c r="AJ305" s="78"/>
    </row>
    <row r="306" spans="1:36" s="212" customFormat="1" ht="17.25" customHeight="1">
      <c r="A306" s="37" t="s">
        <v>199</v>
      </c>
      <c r="B306" s="37">
        <v>1</v>
      </c>
      <c r="C306" s="37"/>
      <c r="D306" s="37"/>
      <c r="E306" s="37">
        <v>4</v>
      </c>
      <c r="F306" s="37"/>
      <c r="G306" s="37"/>
      <c r="H306" s="37"/>
      <c r="I306" s="37"/>
      <c r="J306" s="72" t="s">
        <v>247</v>
      </c>
      <c r="K306" s="272">
        <v>4</v>
      </c>
      <c r="L306" s="273" t="s">
        <v>1</v>
      </c>
      <c r="M306" s="422">
        <f aca="true" t="shared" si="116" ref="M306:S306">M307</f>
        <v>0</v>
      </c>
      <c r="N306" s="422">
        <f t="shared" si="116"/>
        <v>17253.965093901385</v>
      </c>
      <c r="O306" s="437">
        <f t="shared" si="116"/>
        <v>86636.1404207313</v>
      </c>
      <c r="P306" s="437">
        <f t="shared" si="116"/>
        <v>17253.965093901385</v>
      </c>
      <c r="Q306" s="437">
        <f t="shared" si="116"/>
        <v>0</v>
      </c>
      <c r="R306" s="437">
        <f t="shared" si="116"/>
        <v>0</v>
      </c>
      <c r="S306" s="437">
        <f t="shared" si="116"/>
        <v>0</v>
      </c>
      <c r="T306" s="437" t="e">
        <f>S306/M306*100</f>
        <v>#DIV/0!</v>
      </c>
      <c r="U306" s="437" t="e">
        <f>S306/R306*100</f>
        <v>#DIV/0!</v>
      </c>
      <c r="V306" s="78"/>
      <c r="W306" s="78"/>
      <c r="X306" s="78"/>
      <c r="Y306" s="78"/>
      <c r="Z306" s="78"/>
      <c r="AA306" s="78"/>
      <c r="AB306" s="78"/>
      <c r="AC306" s="78"/>
      <c r="AD306" s="78"/>
      <c r="AE306" s="78"/>
      <c r="AF306" s="78"/>
      <c r="AG306" s="78"/>
      <c r="AH306" s="78"/>
      <c r="AI306" s="78"/>
      <c r="AJ306" s="78"/>
    </row>
    <row r="307" spans="1:28" s="75" customFormat="1" ht="19.5" customHeight="1">
      <c r="A307" s="37" t="s">
        <v>199</v>
      </c>
      <c r="B307" s="37">
        <v>1</v>
      </c>
      <c r="C307" s="37"/>
      <c r="D307" s="37"/>
      <c r="E307" s="37">
        <v>4</v>
      </c>
      <c r="F307" s="37"/>
      <c r="G307" s="37"/>
      <c r="H307" s="37"/>
      <c r="I307" s="37"/>
      <c r="J307" s="72" t="s">
        <v>247</v>
      </c>
      <c r="K307" s="274">
        <v>42</v>
      </c>
      <c r="L307" s="382" t="s">
        <v>28</v>
      </c>
      <c r="M307" s="428">
        <f aca="true" t="shared" si="117" ref="M307:S307">M308+M312</f>
        <v>0</v>
      </c>
      <c r="N307" s="428">
        <f t="shared" si="117"/>
        <v>17253.965093901385</v>
      </c>
      <c r="O307" s="465">
        <f t="shared" si="117"/>
        <v>86636.1404207313</v>
      </c>
      <c r="P307" s="465">
        <f t="shared" si="117"/>
        <v>17253.965093901385</v>
      </c>
      <c r="Q307" s="465">
        <f t="shared" si="117"/>
        <v>0</v>
      </c>
      <c r="R307" s="465">
        <f t="shared" si="117"/>
        <v>0</v>
      </c>
      <c r="S307" s="465">
        <f t="shared" si="117"/>
        <v>0</v>
      </c>
      <c r="T307" s="437" t="e">
        <f aca="true" t="shared" si="118" ref="T307:T314">S307/M307*100</f>
        <v>#DIV/0!</v>
      </c>
      <c r="U307" s="437" t="e">
        <f aca="true" t="shared" si="119" ref="U307:U314">S307/R307*100</f>
        <v>#DIV/0!</v>
      </c>
      <c r="V307" s="78"/>
      <c r="W307" s="78"/>
      <c r="X307" s="78"/>
      <c r="Y307" s="78"/>
      <c r="Z307" s="78"/>
      <c r="AA307" s="78"/>
      <c r="AB307" s="78"/>
    </row>
    <row r="308" spans="1:28" s="75" customFormat="1" ht="24" customHeight="1">
      <c r="A308" s="37" t="s">
        <v>199</v>
      </c>
      <c r="B308" s="37">
        <v>1</v>
      </c>
      <c r="C308" s="37"/>
      <c r="D308" s="37"/>
      <c r="E308" s="37">
        <v>4</v>
      </c>
      <c r="F308" s="37"/>
      <c r="G308" s="37"/>
      <c r="H308" s="37"/>
      <c r="I308" s="37"/>
      <c r="J308" s="72" t="s">
        <v>247</v>
      </c>
      <c r="K308" s="272">
        <v>421</v>
      </c>
      <c r="L308" s="334" t="s">
        <v>13</v>
      </c>
      <c r="M308" s="428">
        <f aca="true" t="shared" si="120" ref="M308:S308">M309+M310+M311</f>
        <v>0</v>
      </c>
      <c r="N308" s="428">
        <f t="shared" si="120"/>
        <v>14599.508925608865</v>
      </c>
      <c r="O308" s="465">
        <f t="shared" si="120"/>
        <v>66636.1404207313</v>
      </c>
      <c r="P308" s="465">
        <f t="shared" si="120"/>
        <v>14599.508925608865</v>
      </c>
      <c r="Q308" s="465">
        <f t="shared" si="120"/>
        <v>0</v>
      </c>
      <c r="R308" s="465">
        <f t="shared" si="120"/>
        <v>0</v>
      </c>
      <c r="S308" s="465">
        <f t="shared" si="120"/>
        <v>0</v>
      </c>
      <c r="T308" s="437" t="e">
        <f t="shared" si="118"/>
        <v>#DIV/0!</v>
      </c>
      <c r="U308" s="437" t="e">
        <f t="shared" si="119"/>
        <v>#DIV/0!</v>
      </c>
      <c r="V308" s="78"/>
      <c r="W308" s="78"/>
      <c r="X308" s="78"/>
      <c r="Y308" s="78"/>
      <c r="Z308" s="78"/>
      <c r="AA308" s="78"/>
      <c r="AB308" s="78"/>
    </row>
    <row r="309" spans="1:28" s="75" customFormat="1" ht="34.5" customHeight="1">
      <c r="A309" s="37" t="s">
        <v>199</v>
      </c>
      <c r="B309" s="37">
        <v>1</v>
      </c>
      <c r="C309" s="37"/>
      <c r="D309" s="37"/>
      <c r="E309" s="37"/>
      <c r="F309" s="37"/>
      <c r="G309" s="37"/>
      <c r="H309" s="37"/>
      <c r="I309" s="37"/>
      <c r="J309" s="72" t="s">
        <v>247</v>
      </c>
      <c r="K309" s="36">
        <v>4212</v>
      </c>
      <c r="L309" s="352" t="s">
        <v>471</v>
      </c>
      <c r="M309" s="428">
        <v>0</v>
      </c>
      <c r="N309" s="428">
        <f>10000/7.5345</f>
        <v>1327.2280841462605</v>
      </c>
      <c r="O309" s="428">
        <v>10000</v>
      </c>
      <c r="P309" s="428">
        <f>10000/7.5345</f>
        <v>1327.2280841462605</v>
      </c>
      <c r="Q309" s="428">
        <v>0</v>
      </c>
      <c r="R309" s="428">
        <v>0</v>
      </c>
      <c r="S309" s="428"/>
      <c r="T309" s="437" t="e">
        <f t="shared" si="118"/>
        <v>#DIV/0!</v>
      </c>
      <c r="U309" s="437" t="e">
        <f t="shared" si="119"/>
        <v>#DIV/0!</v>
      </c>
      <c r="V309" s="78"/>
      <c r="W309" s="78"/>
      <c r="X309" s="78"/>
      <c r="Y309" s="78"/>
      <c r="Z309" s="78"/>
      <c r="AA309" s="78"/>
      <c r="AB309" s="78"/>
    </row>
    <row r="310" spans="1:28" s="75" customFormat="1" ht="30.75" customHeight="1">
      <c r="A310" s="37" t="s">
        <v>199</v>
      </c>
      <c r="B310" s="37">
        <v>1</v>
      </c>
      <c r="C310" s="37"/>
      <c r="D310" s="37"/>
      <c r="E310" s="37">
        <v>4</v>
      </c>
      <c r="F310" s="37"/>
      <c r="G310" s="37"/>
      <c r="H310" s="37"/>
      <c r="I310" s="37"/>
      <c r="J310" s="72" t="s">
        <v>247</v>
      </c>
      <c r="K310" s="42">
        <v>4213</v>
      </c>
      <c r="L310" s="352" t="s">
        <v>505</v>
      </c>
      <c r="M310" s="422">
        <v>0</v>
      </c>
      <c r="N310" s="422">
        <f>50000/7.5345</f>
        <v>6636.140420731303</v>
      </c>
      <c r="O310" s="422">
        <f>50000/7.5345</f>
        <v>6636.140420731303</v>
      </c>
      <c r="P310" s="422">
        <f>50000/7.5345</f>
        <v>6636.140420731303</v>
      </c>
      <c r="Q310" s="422">
        <v>0</v>
      </c>
      <c r="R310" s="422">
        <v>0</v>
      </c>
      <c r="S310" s="422"/>
      <c r="T310" s="437" t="e">
        <f t="shared" si="118"/>
        <v>#DIV/0!</v>
      </c>
      <c r="U310" s="437" t="e">
        <f t="shared" si="119"/>
        <v>#DIV/0!</v>
      </c>
      <c r="V310" s="78"/>
      <c r="W310" s="78"/>
      <c r="X310" s="78"/>
      <c r="Y310" s="78"/>
      <c r="Z310" s="78"/>
      <c r="AA310" s="78"/>
      <c r="AB310" s="78"/>
    </row>
    <row r="311" spans="1:28" s="75" customFormat="1" ht="33" customHeight="1">
      <c r="A311" s="37" t="s">
        <v>199</v>
      </c>
      <c r="B311" s="37">
        <v>1</v>
      </c>
      <c r="C311" s="37"/>
      <c r="D311" s="37"/>
      <c r="E311" s="37">
        <v>4</v>
      </c>
      <c r="F311" s="37"/>
      <c r="G311" s="37"/>
      <c r="H311" s="37"/>
      <c r="I311" s="37"/>
      <c r="J311" s="72" t="s">
        <v>247</v>
      </c>
      <c r="K311" s="42">
        <v>4214</v>
      </c>
      <c r="L311" s="352" t="s">
        <v>565</v>
      </c>
      <c r="M311" s="422">
        <v>0</v>
      </c>
      <c r="N311" s="422">
        <f>50000/7.5345</f>
        <v>6636.140420731303</v>
      </c>
      <c r="O311" s="422">
        <v>50000</v>
      </c>
      <c r="P311" s="422">
        <f>50000/7.5345</f>
        <v>6636.140420731303</v>
      </c>
      <c r="Q311" s="422">
        <v>0</v>
      </c>
      <c r="R311" s="422">
        <v>0</v>
      </c>
      <c r="S311" s="422"/>
      <c r="T311" s="437" t="e">
        <f t="shared" si="118"/>
        <v>#DIV/0!</v>
      </c>
      <c r="U311" s="437" t="e">
        <f t="shared" si="119"/>
        <v>#DIV/0!</v>
      </c>
      <c r="V311" s="78"/>
      <c r="W311" s="78"/>
      <c r="X311" s="78"/>
      <c r="Y311" s="78"/>
      <c r="Z311" s="78"/>
      <c r="AA311" s="78"/>
      <c r="AB311" s="78"/>
    </row>
    <row r="312" spans="1:28" s="75" customFormat="1" ht="24.75" customHeight="1">
      <c r="A312" s="37" t="s">
        <v>199</v>
      </c>
      <c r="B312" s="37">
        <v>1</v>
      </c>
      <c r="C312" s="37"/>
      <c r="D312" s="37"/>
      <c r="E312" s="37">
        <v>4</v>
      </c>
      <c r="F312" s="37"/>
      <c r="G312" s="37"/>
      <c r="H312" s="37"/>
      <c r="I312" s="37"/>
      <c r="J312" s="72" t="s">
        <v>247</v>
      </c>
      <c r="K312" s="272">
        <v>426</v>
      </c>
      <c r="L312" s="275" t="s">
        <v>319</v>
      </c>
      <c r="M312" s="422">
        <f aca="true" t="shared" si="121" ref="M312:S312">M313</f>
        <v>0</v>
      </c>
      <c r="N312" s="422">
        <f t="shared" si="121"/>
        <v>2654.456168292521</v>
      </c>
      <c r="O312" s="437">
        <f t="shared" si="121"/>
        <v>20000</v>
      </c>
      <c r="P312" s="437">
        <f t="shared" si="121"/>
        <v>2654.456168292521</v>
      </c>
      <c r="Q312" s="437">
        <f t="shared" si="121"/>
        <v>0</v>
      </c>
      <c r="R312" s="437">
        <f t="shared" si="121"/>
        <v>0</v>
      </c>
      <c r="S312" s="437">
        <f t="shared" si="121"/>
        <v>0</v>
      </c>
      <c r="T312" s="437" t="e">
        <f t="shared" si="118"/>
        <v>#DIV/0!</v>
      </c>
      <c r="U312" s="437" t="e">
        <f t="shared" si="119"/>
        <v>#DIV/0!</v>
      </c>
      <c r="V312" s="78"/>
      <c r="W312" s="78"/>
      <c r="X312" s="78"/>
      <c r="Y312" s="78"/>
      <c r="Z312" s="78"/>
      <c r="AA312" s="78"/>
      <c r="AB312" s="78"/>
    </row>
    <row r="313" spans="1:28" s="75" customFormat="1" ht="20.25" customHeight="1">
      <c r="A313" s="37" t="s">
        <v>199</v>
      </c>
      <c r="B313" s="37">
        <v>1</v>
      </c>
      <c r="C313" s="37"/>
      <c r="D313" s="37"/>
      <c r="E313" s="37">
        <v>4</v>
      </c>
      <c r="F313" s="37"/>
      <c r="G313" s="37"/>
      <c r="H313" s="37"/>
      <c r="I313" s="37"/>
      <c r="J313" s="72" t="s">
        <v>247</v>
      </c>
      <c r="K313" s="42">
        <v>4264</v>
      </c>
      <c r="L313" s="333" t="s">
        <v>549</v>
      </c>
      <c r="M313" s="422">
        <v>0</v>
      </c>
      <c r="N313" s="422">
        <f>20000/7.5345</f>
        <v>2654.456168292521</v>
      </c>
      <c r="O313" s="422">
        <v>20000</v>
      </c>
      <c r="P313" s="422">
        <f>20000/7.5345</f>
        <v>2654.456168292521</v>
      </c>
      <c r="Q313" s="422">
        <v>0</v>
      </c>
      <c r="R313" s="422">
        <v>0</v>
      </c>
      <c r="S313" s="422"/>
      <c r="T313" s="437" t="e">
        <f t="shared" si="118"/>
        <v>#DIV/0!</v>
      </c>
      <c r="U313" s="437" t="e">
        <f t="shared" si="119"/>
        <v>#DIV/0!</v>
      </c>
      <c r="V313" s="78"/>
      <c r="W313" s="78"/>
      <c r="X313" s="78"/>
      <c r="Y313" s="78"/>
      <c r="Z313" s="78"/>
      <c r="AA313" s="78"/>
      <c r="AB313" s="78"/>
    </row>
    <row r="314" spans="1:28" s="75" customFormat="1" ht="15.75">
      <c r="A314" s="125"/>
      <c r="B314" s="125"/>
      <c r="C314" s="125"/>
      <c r="D314" s="125"/>
      <c r="E314" s="125"/>
      <c r="F314" s="125"/>
      <c r="G314" s="125"/>
      <c r="H314" s="125"/>
      <c r="I314" s="125"/>
      <c r="J314" s="129"/>
      <c r="K314" s="126"/>
      <c r="L314" s="348" t="s">
        <v>137</v>
      </c>
      <c r="M314" s="421">
        <f aca="true" t="shared" si="122" ref="M314:S314">M306</f>
        <v>0</v>
      </c>
      <c r="N314" s="421">
        <f t="shared" si="122"/>
        <v>17253.965093901385</v>
      </c>
      <c r="O314" s="421">
        <f t="shared" si="122"/>
        <v>86636.1404207313</v>
      </c>
      <c r="P314" s="421">
        <f t="shared" si="122"/>
        <v>17253.965093901385</v>
      </c>
      <c r="Q314" s="421">
        <f t="shared" si="122"/>
        <v>0</v>
      </c>
      <c r="R314" s="421">
        <f t="shared" si="122"/>
        <v>0</v>
      </c>
      <c r="S314" s="421">
        <f t="shared" si="122"/>
        <v>0</v>
      </c>
      <c r="T314" s="421" t="e">
        <f t="shared" si="118"/>
        <v>#DIV/0!</v>
      </c>
      <c r="U314" s="421" t="e">
        <f t="shared" si="119"/>
        <v>#DIV/0!</v>
      </c>
      <c r="V314" s="78"/>
      <c r="W314" s="78"/>
      <c r="X314" s="78"/>
      <c r="Y314" s="78"/>
      <c r="Z314" s="78"/>
      <c r="AA314" s="78"/>
      <c r="AB314" s="78"/>
    </row>
    <row r="315" spans="1:36" s="128" customFormat="1" ht="15.75">
      <c r="A315" s="65"/>
      <c r="B315" s="65"/>
      <c r="C315" s="65"/>
      <c r="D315" s="65"/>
      <c r="E315" s="65"/>
      <c r="F315" s="65"/>
      <c r="G315" s="65"/>
      <c r="H315" s="65"/>
      <c r="I315" s="65"/>
      <c r="J315" s="179"/>
      <c r="K315" s="165"/>
      <c r="L315" s="178"/>
      <c r="M315" s="453"/>
      <c r="N315" s="453"/>
      <c r="O315" s="453"/>
      <c r="P315" s="453"/>
      <c r="Q315" s="453"/>
      <c r="R315" s="453"/>
      <c r="S315" s="453"/>
      <c r="T315" s="453"/>
      <c r="U315" s="453"/>
      <c r="V315" s="78"/>
      <c r="W315" s="78"/>
      <c r="X315" s="78"/>
      <c r="Y315" s="78"/>
      <c r="Z315" s="78"/>
      <c r="AA315" s="78"/>
      <c r="AB315" s="78"/>
      <c r="AC315" s="75"/>
      <c r="AD315" s="75"/>
      <c r="AE315" s="75"/>
      <c r="AF315" s="75"/>
      <c r="AG315" s="75"/>
      <c r="AH315" s="75"/>
      <c r="AI315" s="75"/>
      <c r="AJ315" s="75"/>
    </row>
    <row r="316" spans="1:21" s="78" customFormat="1" ht="45">
      <c r="A316" s="185" t="s">
        <v>198</v>
      </c>
      <c r="B316" s="79"/>
      <c r="C316" s="79"/>
      <c r="D316" s="79"/>
      <c r="E316" s="79"/>
      <c r="F316" s="79"/>
      <c r="G316" s="79"/>
      <c r="H316" s="79"/>
      <c r="I316" s="79"/>
      <c r="J316" s="184"/>
      <c r="K316" s="41" t="s">
        <v>323</v>
      </c>
      <c r="L316" s="342" t="s">
        <v>476</v>
      </c>
      <c r="M316" s="430"/>
      <c r="N316" s="430"/>
      <c r="O316" s="430"/>
      <c r="P316" s="430"/>
      <c r="Q316" s="430"/>
      <c r="R316" s="430"/>
      <c r="S316" s="430"/>
      <c r="T316" s="430"/>
      <c r="U316" s="430"/>
    </row>
    <row r="317" spans="1:36" s="212" customFormat="1" ht="24" customHeight="1">
      <c r="A317" s="65" t="s">
        <v>474</v>
      </c>
      <c r="B317" s="65">
        <v>1</v>
      </c>
      <c r="C317" s="65"/>
      <c r="D317" s="65"/>
      <c r="E317" s="65"/>
      <c r="F317" s="65"/>
      <c r="G317" s="65"/>
      <c r="H317" s="65"/>
      <c r="I317" s="65"/>
      <c r="J317" s="257" t="s">
        <v>473</v>
      </c>
      <c r="K317" s="272">
        <v>42</v>
      </c>
      <c r="L317" s="334" t="s">
        <v>472</v>
      </c>
      <c r="M317" s="422">
        <f aca="true" t="shared" si="123" ref="M317:S317">M318</f>
        <v>0</v>
      </c>
      <c r="N317" s="422">
        <f t="shared" si="123"/>
        <v>2654.456168292521</v>
      </c>
      <c r="O317" s="437">
        <f t="shared" si="123"/>
        <v>20000</v>
      </c>
      <c r="P317" s="437">
        <f t="shared" si="123"/>
        <v>2654.456168292521</v>
      </c>
      <c r="Q317" s="422">
        <f t="shared" si="123"/>
        <v>0</v>
      </c>
      <c r="R317" s="437">
        <f t="shared" si="123"/>
        <v>2654.46</v>
      </c>
      <c r="S317" s="437">
        <f t="shared" si="123"/>
        <v>0</v>
      </c>
      <c r="T317" s="437" t="e">
        <f>S317/M317*100</f>
        <v>#DIV/0!</v>
      </c>
      <c r="U317" s="437">
        <f>S317/R317*100</f>
        <v>0</v>
      </c>
      <c r="V317" s="78"/>
      <c r="W317" s="78"/>
      <c r="X317" s="78"/>
      <c r="Y317" s="78"/>
      <c r="Z317" s="78"/>
      <c r="AA317" s="78"/>
      <c r="AB317" s="78"/>
      <c r="AC317" s="78"/>
      <c r="AD317" s="78"/>
      <c r="AE317" s="78"/>
      <c r="AF317" s="78"/>
      <c r="AG317" s="78"/>
      <c r="AH317" s="78"/>
      <c r="AI317" s="78"/>
      <c r="AJ317" s="78"/>
    </row>
    <row r="318" spans="1:28" s="75" customFormat="1" ht="15.75">
      <c r="A318" s="65" t="s">
        <v>474</v>
      </c>
      <c r="B318" s="65">
        <v>1</v>
      </c>
      <c r="C318" s="65"/>
      <c r="D318" s="65"/>
      <c r="E318" s="65"/>
      <c r="F318" s="65"/>
      <c r="G318" s="65"/>
      <c r="H318" s="65"/>
      <c r="I318" s="65"/>
      <c r="J318" s="257" t="s">
        <v>473</v>
      </c>
      <c r="K318" s="35">
        <v>422</v>
      </c>
      <c r="L318" s="370" t="s">
        <v>322</v>
      </c>
      <c r="M318" s="405">
        <v>0</v>
      </c>
      <c r="N318" s="405">
        <f>20000/7.5345</f>
        <v>2654.456168292521</v>
      </c>
      <c r="O318" s="405">
        <v>20000</v>
      </c>
      <c r="P318" s="405">
        <f>20000/7.5345</f>
        <v>2654.456168292521</v>
      </c>
      <c r="Q318" s="405">
        <v>0</v>
      </c>
      <c r="R318" s="405">
        <v>2654.46</v>
      </c>
      <c r="S318" s="405"/>
      <c r="T318" s="437" t="e">
        <f>S318/M318*100</f>
        <v>#DIV/0!</v>
      </c>
      <c r="U318" s="437">
        <f>S318/R318*100</f>
        <v>0</v>
      </c>
      <c r="V318" s="78"/>
      <c r="W318" s="78"/>
      <c r="X318" s="78"/>
      <c r="Y318" s="78"/>
      <c r="Z318" s="78"/>
      <c r="AA318" s="78"/>
      <c r="AB318" s="78"/>
    </row>
    <row r="319" spans="1:28" s="75" customFormat="1" ht="15.75">
      <c r="A319" s="181"/>
      <c r="B319" s="181"/>
      <c r="C319" s="181"/>
      <c r="D319" s="181"/>
      <c r="E319" s="181"/>
      <c r="F319" s="181"/>
      <c r="G319" s="181"/>
      <c r="H319" s="181"/>
      <c r="I319" s="181"/>
      <c r="J319" s="182"/>
      <c r="K319" s="126"/>
      <c r="L319" s="348" t="s">
        <v>86</v>
      </c>
      <c r="M319" s="421">
        <f aca="true" t="shared" si="124" ref="M319:S319">M317</f>
        <v>0</v>
      </c>
      <c r="N319" s="421">
        <f t="shared" si="124"/>
        <v>2654.456168292521</v>
      </c>
      <c r="O319" s="421">
        <f t="shared" si="124"/>
        <v>20000</v>
      </c>
      <c r="P319" s="421">
        <f t="shared" si="124"/>
        <v>2654.456168292521</v>
      </c>
      <c r="Q319" s="421">
        <f t="shared" si="124"/>
        <v>0</v>
      </c>
      <c r="R319" s="421">
        <f t="shared" si="124"/>
        <v>2654.46</v>
      </c>
      <c r="S319" s="421">
        <f t="shared" si="124"/>
        <v>0</v>
      </c>
      <c r="T319" s="421" t="e">
        <f>S319/M319*100</f>
        <v>#DIV/0!</v>
      </c>
      <c r="U319" s="421">
        <f>S319/R319*100</f>
        <v>0</v>
      </c>
      <c r="V319" s="78"/>
      <c r="W319" s="78"/>
      <c r="X319" s="78"/>
      <c r="Y319" s="78"/>
      <c r="Z319" s="78"/>
      <c r="AA319" s="78"/>
      <c r="AB319" s="78"/>
    </row>
    <row r="320" spans="1:36" s="128" customFormat="1" ht="15.75">
      <c r="A320" s="65"/>
      <c r="B320" s="65"/>
      <c r="C320" s="65"/>
      <c r="D320" s="65"/>
      <c r="E320" s="65"/>
      <c r="F320" s="65"/>
      <c r="G320" s="65"/>
      <c r="H320" s="65"/>
      <c r="I320" s="65"/>
      <c r="J320" s="179"/>
      <c r="K320" s="165"/>
      <c r="L320" s="178"/>
      <c r="M320" s="453"/>
      <c r="N320" s="453"/>
      <c r="O320" s="453"/>
      <c r="P320" s="453"/>
      <c r="Q320" s="453"/>
      <c r="R320" s="453"/>
      <c r="S320" s="453"/>
      <c r="T320" s="453"/>
      <c r="U320" s="453"/>
      <c r="V320" s="78"/>
      <c r="W320" s="78"/>
      <c r="X320" s="78"/>
      <c r="Y320" s="78"/>
      <c r="Z320" s="78"/>
      <c r="AA320" s="78"/>
      <c r="AB320" s="78"/>
      <c r="AC320" s="75"/>
      <c r="AD320" s="75"/>
      <c r="AE320" s="75"/>
      <c r="AF320" s="75"/>
      <c r="AG320" s="75"/>
      <c r="AH320" s="75"/>
      <c r="AI320" s="75"/>
      <c r="AJ320" s="75"/>
    </row>
    <row r="321" spans="1:21" s="78" customFormat="1" ht="32.25" customHeight="1">
      <c r="A321" s="79" t="s">
        <v>198</v>
      </c>
      <c r="B321" s="79"/>
      <c r="C321" s="79"/>
      <c r="D321" s="79"/>
      <c r="E321" s="79"/>
      <c r="F321" s="79"/>
      <c r="G321" s="79"/>
      <c r="H321" s="79"/>
      <c r="I321" s="79"/>
      <c r="J321" s="184"/>
      <c r="K321" s="41" t="s">
        <v>185</v>
      </c>
      <c r="L321" s="342" t="s">
        <v>485</v>
      </c>
      <c r="M321" s="430"/>
      <c r="N321" s="430"/>
      <c r="O321" s="430"/>
      <c r="P321" s="430"/>
      <c r="Q321" s="430"/>
      <c r="R321" s="430"/>
      <c r="S321" s="430"/>
      <c r="T321" s="430"/>
      <c r="U321" s="430"/>
    </row>
    <row r="322" spans="1:36" s="212" customFormat="1" ht="21.75" customHeight="1">
      <c r="A322" s="65" t="s">
        <v>478</v>
      </c>
      <c r="B322" s="65">
        <v>1</v>
      </c>
      <c r="C322" s="65"/>
      <c r="D322" s="65"/>
      <c r="E322" s="65"/>
      <c r="F322" s="65"/>
      <c r="G322" s="65"/>
      <c r="H322" s="65"/>
      <c r="I322" s="65"/>
      <c r="J322" s="257" t="s">
        <v>473</v>
      </c>
      <c r="K322" s="272">
        <v>32</v>
      </c>
      <c r="L322" s="334" t="s">
        <v>5</v>
      </c>
      <c r="M322" s="422">
        <f aca="true" t="shared" si="125" ref="M322:S322">M323</f>
        <v>0</v>
      </c>
      <c r="N322" s="422">
        <f t="shared" si="125"/>
        <v>2654.456168292521</v>
      </c>
      <c r="O322" s="437">
        <f t="shared" si="125"/>
        <v>20000</v>
      </c>
      <c r="P322" s="437">
        <f t="shared" si="125"/>
        <v>2654.456168292521</v>
      </c>
      <c r="Q322" s="422">
        <f t="shared" si="125"/>
        <v>356.49</v>
      </c>
      <c r="R322" s="437">
        <f t="shared" si="125"/>
        <v>2654.46</v>
      </c>
      <c r="S322" s="437">
        <f t="shared" si="125"/>
        <v>0</v>
      </c>
      <c r="T322" s="437" t="e">
        <f>S322/M322*100</f>
        <v>#DIV/0!</v>
      </c>
      <c r="U322" s="437">
        <f>S322/R322*100</f>
        <v>0</v>
      </c>
      <c r="V322" s="78"/>
      <c r="W322" s="78"/>
      <c r="X322" s="78"/>
      <c r="Y322" s="78"/>
      <c r="Z322" s="78"/>
      <c r="AA322" s="78"/>
      <c r="AB322" s="78"/>
      <c r="AC322" s="78"/>
      <c r="AD322" s="78"/>
      <c r="AE322" s="78"/>
      <c r="AF322" s="78"/>
      <c r="AG322" s="78"/>
      <c r="AH322" s="78"/>
      <c r="AI322" s="78"/>
      <c r="AJ322" s="78"/>
    </row>
    <row r="323" spans="1:28" s="75" customFormat="1" ht="25.5" customHeight="1">
      <c r="A323" s="65" t="s">
        <v>478</v>
      </c>
      <c r="B323" s="65">
        <v>1</v>
      </c>
      <c r="C323" s="65"/>
      <c r="D323" s="65"/>
      <c r="E323" s="65"/>
      <c r="F323" s="65"/>
      <c r="G323" s="65"/>
      <c r="H323" s="65"/>
      <c r="I323" s="65"/>
      <c r="J323" s="257" t="s">
        <v>473</v>
      </c>
      <c r="K323" s="35">
        <v>329</v>
      </c>
      <c r="L323" s="370" t="s">
        <v>34</v>
      </c>
      <c r="M323" s="405">
        <v>0</v>
      </c>
      <c r="N323" s="405">
        <f>20000/7.5345</f>
        <v>2654.456168292521</v>
      </c>
      <c r="O323" s="405">
        <v>20000</v>
      </c>
      <c r="P323" s="405">
        <f>20000/7.5345</f>
        <v>2654.456168292521</v>
      </c>
      <c r="Q323" s="405">
        <v>356.49</v>
      </c>
      <c r="R323" s="405">
        <v>2654.46</v>
      </c>
      <c r="S323" s="405"/>
      <c r="T323" s="437" t="e">
        <f>S323/M323*100</f>
        <v>#DIV/0!</v>
      </c>
      <c r="U323" s="437">
        <f>S323/R323*100</f>
        <v>0</v>
      </c>
      <c r="V323" s="78"/>
      <c r="W323" s="78"/>
      <c r="X323" s="78"/>
      <c r="Y323" s="78"/>
      <c r="Z323" s="78"/>
      <c r="AA323" s="78"/>
      <c r="AB323" s="78"/>
    </row>
    <row r="324" spans="1:28" s="75" customFormat="1" ht="15.75">
      <c r="A324" s="181"/>
      <c r="B324" s="181"/>
      <c r="C324" s="181"/>
      <c r="D324" s="181"/>
      <c r="E324" s="181"/>
      <c r="F324" s="181"/>
      <c r="G324" s="181"/>
      <c r="H324" s="181"/>
      <c r="I324" s="181"/>
      <c r="J324" s="182"/>
      <c r="K324" s="126"/>
      <c r="L324" s="348" t="s">
        <v>86</v>
      </c>
      <c r="M324" s="421">
        <f aca="true" t="shared" si="126" ref="M324:S324">M322</f>
        <v>0</v>
      </c>
      <c r="N324" s="421">
        <f t="shared" si="126"/>
        <v>2654.456168292521</v>
      </c>
      <c r="O324" s="421">
        <f t="shared" si="126"/>
        <v>20000</v>
      </c>
      <c r="P324" s="421">
        <f t="shared" si="126"/>
        <v>2654.456168292521</v>
      </c>
      <c r="Q324" s="421">
        <f t="shared" si="126"/>
        <v>356.49</v>
      </c>
      <c r="R324" s="421">
        <f t="shared" si="126"/>
        <v>2654.46</v>
      </c>
      <c r="S324" s="421">
        <f t="shared" si="126"/>
        <v>0</v>
      </c>
      <c r="T324" s="421" t="e">
        <f>S324/M324*100</f>
        <v>#DIV/0!</v>
      </c>
      <c r="U324" s="421">
        <f>S324/R324*100</f>
        <v>0</v>
      </c>
      <c r="V324" s="78"/>
      <c r="W324" s="78"/>
      <c r="X324" s="78"/>
      <c r="Y324" s="78"/>
      <c r="Z324" s="78"/>
      <c r="AA324" s="78"/>
      <c r="AB324" s="78"/>
    </row>
    <row r="325" spans="1:36" s="128" customFormat="1" ht="15.75">
      <c r="A325" s="19"/>
      <c r="B325" s="38"/>
      <c r="C325" s="38"/>
      <c r="D325" s="38"/>
      <c r="E325" s="38"/>
      <c r="F325" s="38"/>
      <c r="G325" s="38"/>
      <c r="H325" s="38"/>
      <c r="I325" s="38"/>
      <c r="J325" s="228"/>
      <c r="K325" s="13"/>
      <c r="L325" s="53"/>
      <c r="M325" s="429"/>
      <c r="N325" s="429"/>
      <c r="O325" s="429"/>
      <c r="P325" s="429"/>
      <c r="Q325" s="429"/>
      <c r="R325" s="429"/>
      <c r="S325" s="429"/>
      <c r="T325" s="429"/>
      <c r="U325" s="429"/>
      <c r="V325" s="78"/>
      <c r="W325" s="78"/>
      <c r="X325" s="78"/>
      <c r="Y325" s="78"/>
      <c r="Z325" s="78"/>
      <c r="AA325" s="78"/>
      <c r="AB325" s="78"/>
      <c r="AC325" s="75"/>
      <c r="AD325" s="75"/>
      <c r="AE325" s="75"/>
      <c r="AF325" s="75"/>
      <c r="AG325" s="75"/>
      <c r="AH325" s="75"/>
      <c r="AI325" s="75"/>
      <c r="AJ325" s="75"/>
    </row>
    <row r="326" spans="1:36" s="46" customFormat="1" ht="15">
      <c r="A326" s="79" t="s">
        <v>200</v>
      </c>
      <c r="B326" s="79"/>
      <c r="C326" s="79"/>
      <c r="D326" s="79"/>
      <c r="E326" s="79"/>
      <c r="F326" s="79"/>
      <c r="G326" s="79"/>
      <c r="H326" s="79"/>
      <c r="I326" s="79"/>
      <c r="J326" s="184"/>
      <c r="K326" s="41" t="s">
        <v>504</v>
      </c>
      <c r="L326" s="613" t="s">
        <v>477</v>
      </c>
      <c r="M326" s="430"/>
      <c r="N326" s="430"/>
      <c r="O326" s="430"/>
      <c r="P326" s="430"/>
      <c r="Q326" s="430"/>
      <c r="R326" s="430"/>
      <c r="S326" s="430"/>
      <c r="T326" s="430"/>
      <c r="U326" s="430"/>
      <c r="V326" s="78"/>
      <c r="W326" s="78"/>
      <c r="X326" s="78"/>
      <c r="Y326" s="78"/>
      <c r="Z326" s="78"/>
      <c r="AA326" s="78"/>
      <c r="AB326" s="78"/>
      <c r="AC326" s="78"/>
      <c r="AD326" s="78"/>
      <c r="AE326" s="78"/>
      <c r="AF326" s="78"/>
      <c r="AG326" s="78"/>
      <c r="AH326" s="78"/>
      <c r="AI326" s="78"/>
      <c r="AJ326" s="78"/>
    </row>
    <row r="327" spans="1:36" s="212" customFormat="1" ht="15.75" customHeight="1">
      <c r="A327" s="79" t="s">
        <v>156</v>
      </c>
      <c r="B327" s="79"/>
      <c r="C327" s="79"/>
      <c r="D327" s="79"/>
      <c r="E327" s="79"/>
      <c r="F327" s="79"/>
      <c r="G327" s="79"/>
      <c r="H327" s="79"/>
      <c r="I327" s="79"/>
      <c r="J327" s="184"/>
      <c r="K327" s="41" t="s">
        <v>354</v>
      </c>
      <c r="L327" s="613"/>
      <c r="M327" s="430"/>
      <c r="N327" s="430"/>
      <c r="O327" s="430"/>
      <c r="P327" s="430"/>
      <c r="Q327" s="430"/>
      <c r="R327" s="430"/>
      <c r="S327" s="430"/>
      <c r="T327" s="430"/>
      <c r="U327" s="430"/>
      <c r="V327" s="78"/>
      <c r="W327" s="78"/>
      <c r="X327" s="78"/>
      <c r="Y327" s="78"/>
      <c r="Z327" s="78"/>
      <c r="AA327" s="78"/>
      <c r="AB327" s="78"/>
      <c r="AC327" s="78"/>
      <c r="AD327" s="78"/>
      <c r="AE327" s="78"/>
      <c r="AF327" s="78"/>
      <c r="AG327" s="78"/>
      <c r="AH327" s="78"/>
      <c r="AI327" s="78"/>
      <c r="AJ327" s="78"/>
    </row>
    <row r="328" spans="1:36" s="212" customFormat="1" ht="22.5" customHeight="1">
      <c r="A328" s="37" t="s">
        <v>156</v>
      </c>
      <c r="B328" s="37">
        <v>1</v>
      </c>
      <c r="C328" s="37"/>
      <c r="D328" s="37">
        <v>3</v>
      </c>
      <c r="E328" s="37"/>
      <c r="F328" s="37"/>
      <c r="G328" s="37"/>
      <c r="H328" s="37"/>
      <c r="I328" s="37"/>
      <c r="J328" s="72" t="s">
        <v>247</v>
      </c>
      <c r="K328" s="272">
        <v>4</v>
      </c>
      <c r="L328" s="273" t="s">
        <v>27</v>
      </c>
      <c r="M328" s="422">
        <f aca="true" t="shared" si="127" ref="M328:S329">M329</f>
        <v>0</v>
      </c>
      <c r="N328" s="422">
        <f t="shared" si="127"/>
        <v>26544.56168292521</v>
      </c>
      <c r="O328" s="437">
        <f t="shared" si="127"/>
        <v>50000</v>
      </c>
      <c r="P328" s="437">
        <f t="shared" si="127"/>
        <v>30773</v>
      </c>
      <c r="Q328" s="437">
        <f t="shared" si="127"/>
        <v>2000</v>
      </c>
      <c r="R328" s="437">
        <f t="shared" si="127"/>
        <v>3250</v>
      </c>
      <c r="S328" s="437">
        <f t="shared" si="127"/>
        <v>2000</v>
      </c>
      <c r="T328" s="437" t="e">
        <f aca="true" t="shared" si="128" ref="T328:T333">S328/M328*100</f>
        <v>#DIV/0!</v>
      </c>
      <c r="U328" s="437">
        <f aca="true" t="shared" si="129" ref="U328:U333">S328/R328*100</f>
        <v>61.53846153846154</v>
      </c>
      <c r="V328" s="78"/>
      <c r="W328" s="78"/>
      <c r="X328" s="78"/>
      <c r="Y328" s="78"/>
      <c r="Z328" s="78"/>
      <c r="AA328" s="78"/>
      <c r="AB328" s="78"/>
      <c r="AC328" s="78"/>
      <c r="AD328" s="78"/>
      <c r="AE328" s="78"/>
      <c r="AF328" s="78"/>
      <c r="AG328" s="78"/>
      <c r="AH328" s="78"/>
      <c r="AI328" s="78"/>
      <c r="AJ328" s="78"/>
    </row>
    <row r="329" spans="1:28" s="75" customFormat="1" ht="24" customHeight="1">
      <c r="A329" s="37" t="s">
        <v>156</v>
      </c>
      <c r="B329" s="37">
        <v>1</v>
      </c>
      <c r="C329" s="37"/>
      <c r="D329" s="37">
        <v>3</v>
      </c>
      <c r="E329" s="37"/>
      <c r="F329" s="37"/>
      <c r="G329" s="37"/>
      <c r="H329" s="37"/>
      <c r="I329" s="37"/>
      <c r="J329" s="72" t="s">
        <v>247</v>
      </c>
      <c r="K329" s="272">
        <v>42</v>
      </c>
      <c r="L329" s="358" t="s">
        <v>28</v>
      </c>
      <c r="M329" s="422">
        <f t="shared" si="127"/>
        <v>0</v>
      </c>
      <c r="N329" s="422">
        <f t="shared" si="127"/>
        <v>26544.56168292521</v>
      </c>
      <c r="O329" s="437">
        <f t="shared" si="127"/>
        <v>50000</v>
      </c>
      <c r="P329" s="437">
        <f t="shared" si="127"/>
        <v>30773</v>
      </c>
      <c r="Q329" s="437">
        <f t="shared" si="127"/>
        <v>2000</v>
      </c>
      <c r="R329" s="437">
        <f t="shared" si="127"/>
        <v>3250</v>
      </c>
      <c r="S329" s="437">
        <f t="shared" si="127"/>
        <v>2000</v>
      </c>
      <c r="T329" s="437" t="e">
        <f t="shared" si="128"/>
        <v>#DIV/0!</v>
      </c>
      <c r="U329" s="437">
        <f t="shared" si="129"/>
        <v>61.53846153846154</v>
      </c>
      <c r="V329" s="78"/>
      <c r="W329" s="78"/>
      <c r="X329" s="78"/>
      <c r="Y329" s="78"/>
      <c r="Z329" s="78"/>
      <c r="AA329" s="78"/>
      <c r="AB329" s="78"/>
    </row>
    <row r="330" spans="1:28" s="75" customFormat="1" ht="19.5" customHeight="1">
      <c r="A330" s="37" t="s">
        <v>156</v>
      </c>
      <c r="B330" s="37">
        <v>1</v>
      </c>
      <c r="C330" s="37"/>
      <c r="D330" s="37">
        <v>3</v>
      </c>
      <c r="E330" s="37"/>
      <c r="F330" s="37"/>
      <c r="G330" s="37"/>
      <c r="H330" s="37"/>
      <c r="I330" s="37"/>
      <c r="J330" s="72" t="s">
        <v>247</v>
      </c>
      <c r="K330" s="272">
        <v>426</v>
      </c>
      <c r="L330" s="334" t="s">
        <v>30</v>
      </c>
      <c r="M330" s="422">
        <f>M332</f>
        <v>0</v>
      </c>
      <c r="N330" s="422">
        <f>N331+N332</f>
        <v>26544.56168292521</v>
      </c>
      <c r="O330" s="437">
        <f>O332</f>
        <v>50000</v>
      </c>
      <c r="P330" s="437">
        <f>P331+P332</f>
        <v>30773</v>
      </c>
      <c r="Q330" s="437">
        <f>Q331+Q332</f>
        <v>2000</v>
      </c>
      <c r="R330" s="437">
        <f>R331+R332</f>
        <v>3250</v>
      </c>
      <c r="S330" s="437">
        <f>S331+S332</f>
        <v>2000</v>
      </c>
      <c r="T330" s="437" t="e">
        <f t="shared" si="128"/>
        <v>#DIV/0!</v>
      </c>
      <c r="U330" s="437">
        <f t="shared" si="129"/>
        <v>61.53846153846154</v>
      </c>
      <c r="V330" s="78"/>
      <c r="W330" s="78"/>
      <c r="X330" s="78"/>
      <c r="Y330" s="78"/>
      <c r="Z330" s="78"/>
      <c r="AA330" s="78"/>
      <c r="AB330" s="78"/>
    </row>
    <row r="331" spans="1:28" s="75" customFormat="1" ht="45.75" customHeight="1">
      <c r="A331" s="37" t="s">
        <v>156</v>
      </c>
      <c r="B331" s="37">
        <v>1</v>
      </c>
      <c r="C331" s="37"/>
      <c r="D331" s="37">
        <v>3</v>
      </c>
      <c r="E331" s="37"/>
      <c r="F331" s="37"/>
      <c r="G331" s="37"/>
      <c r="H331" s="37"/>
      <c r="I331" s="37"/>
      <c r="J331" s="72" t="s">
        <v>664</v>
      </c>
      <c r="K331" s="274">
        <v>4263</v>
      </c>
      <c r="L331" s="372" t="s">
        <v>515</v>
      </c>
      <c r="M331" s="422"/>
      <c r="N331" s="422">
        <f>200000/7.5345</f>
        <v>26544.56168292521</v>
      </c>
      <c r="O331" s="437"/>
      <c r="P331" s="507">
        <v>17500</v>
      </c>
      <c r="Q331" s="437">
        <v>2000</v>
      </c>
      <c r="R331" s="422">
        <v>3250</v>
      </c>
      <c r="S331" s="422">
        <v>2000</v>
      </c>
      <c r="T331" s="437" t="e">
        <f t="shared" si="128"/>
        <v>#DIV/0!</v>
      </c>
      <c r="U331" s="437">
        <f t="shared" si="129"/>
        <v>61.53846153846154</v>
      </c>
      <c r="V331" s="78"/>
      <c r="W331" s="78"/>
      <c r="X331" s="78"/>
      <c r="Y331" s="78"/>
      <c r="Z331" s="78"/>
      <c r="AA331" s="78"/>
      <c r="AB331" s="78"/>
    </row>
    <row r="332" spans="1:28" s="75" customFormat="1" ht="45" customHeight="1">
      <c r="A332" s="37" t="s">
        <v>156</v>
      </c>
      <c r="B332" s="37">
        <v>1</v>
      </c>
      <c r="C332" s="37"/>
      <c r="D332" s="37">
        <v>3</v>
      </c>
      <c r="E332" s="37"/>
      <c r="F332" s="37"/>
      <c r="G332" s="37"/>
      <c r="H332" s="37"/>
      <c r="I332" s="37"/>
      <c r="J332" s="72" t="s">
        <v>247</v>
      </c>
      <c r="K332" s="42">
        <v>4263</v>
      </c>
      <c r="L332" s="372" t="s">
        <v>661</v>
      </c>
      <c r="M332" s="422">
        <v>0</v>
      </c>
      <c r="N332" s="422">
        <v>0</v>
      </c>
      <c r="O332" s="422">
        <v>50000</v>
      </c>
      <c r="P332" s="502">
        <v>13273</v>
      </c>
      <c r="Q332" s="422">
        <v>0</v>
      </c>
      <c r="R332" s="422">
        <v>0</v>
      </c>
      <c r="S332" s="422"/>
      <c r="T332" s="437" t="e">
        <f t="shared" si="128"/>
        <v>#DIV/0!</v>
      </c>
      <c r="U332" s="437" t="e">
        <f t="shared" si="129"/>
        <v>#DIV/0!</v>
      </c>
      <c r="V332" s="78"/>
      <c r="W332" s="78"/>
      <c r="X332" s="78"/>
      <c r="Y332" s="78"/>
      <c r="Z332" s="78"/>
      <c r="AA332" s="78"/>
      <c r="AB332" s="78"/>
    </row>
    <row r="333" spans="1:28" s="75" customFormat="1" ht="25.5" customHeight="1">
      <c r="A333" s="125"/>
      <c r="B333" s="125"/>
      <c r="C333" s="125"/>
      <c r="D333" s="125"/>
      <c r="E333" s="125"/>
      <c r="F333" s="125"/>
      <c r="G333" s="125"/>
      <c r="H333" s="125"/>
      <c r="I333" s="125"/>
      <c r="J333" s="125"/>
      <c r="K333" s="130"/>
      <c r="L333" s="348" t="s">
        <v>137</v>
      </c>
      <c r="M333" s="421">
        <f aca="true" t="shared" si="130" ref="M333:S333">M328</f>
        <v>0</v>
      </c>
      <c r="N333" s="421">
        <f t="shared" si="130"/>
        <v>26544.56168292521</v>
      </c>
      <c r="O333" s="421">
        <f t="shared" si="130"/>
        <v>50000</v>
      </c>
      <c r="P333" s="421">
        <f t="shared" si="130"/>
        <v>30773</v>
      </c>
      <c r="Q333" s="421">
        <f t="shared" si="130"/>
        <v>2000</v>
      </c>
      <c r="R333" s="421">
        <f t="shared" si="130"/>
        <v>3250</v>
      </c>
      <c r="S333" s="421">
        <f t="shared" si="130"/>
        <v>2000</v>
      </c>
      <c r="T333" s="421" t="e">
        <f t="shared" si="128"/>
        <v>#DIV/0!</v>
      </c>
      <c r="U333" s="421">
        <f t="shared" si="129"/>
        <v>61.53846153846154</v>
      </c>
      <c r="V333" s="78"/>
      <c r="W333" s="78"/>
      <c r="X333" s="78"/>
      <c r="Y333" s="78"/>
      <c r="Z333" s="78"/>
      <c r="AA333" s="78"/>
      <c r="AB333" s="78"/>
    </row>
    <row r="334" spans="1:36" s="128" customFormat="1" ht="15.75">
      <c r="A334" s="38"/>
      <c r="B334" s="38"/>
      <c r="C334" s="38"/>
      <c r="D334" s="38"/>
      <c r="E334" s="38"/>
      <c r="F334" s="38"/>
      <c r="G334" s="38"/>
      <c r="H334" s="38"/>
      <c r="I334" s="38"/>
      <c r="J334" s="38"/>
      <c r="K334" s="13"/>
      <c r="L334" s="53"/>
      <c r="M334" s="429"/>
      <c r="N334" s="429"/>
      <c r="O334" s="429"/>
      <c r="P334" s="429"/>
      <c r="Q334" s="429"/>
      <c r="R334" s="429"/>
      <c r="S334" s="429"/>
      <c r="T334" s="429"/>
      <c r="U334" s="429"/>
      <c r="V334" s="78"/>
      <c r="W334" s="78"/>
      <c r="X334" s="78"/>
      <c r="Y334" s="78"/>
      <c r="Z334" s="78"/>
      <c r="AA334" s="78"/>
      <c r="AB334" s="78"/>
      <c r="AC334" s="75"/>
      <c r="AD334" s="75"/>
      <c r="AE334" s="75"/>
      <c r="AF334" s="75"/>
      <c r="AG334" s="75"/>
      <c r="AH334" s="75"/>
      <c r="AI334" s="75"/>
      <c r="AJ334" s="75"/>
    </row>
    <row r="335" spans="1:36" s="46" customFormat="1" ht="15.75">
      <c r="A335" s="79" t="s">
        <v>202</v>
      </c>
      <c r="B335" s="79"/>
      <c r="C335" s="79"/>
      <c r="D335" s="79"/>
      <c r="E335" s="79"/>
      <c r="F335" s="79"/>
      <c r="G335" s="79"/>
      <c r="H335" s="79"/>
      <c r="I335" s="79"/>
      <c r="J335" s="79"/>
      <c r="K335" s="229" t="s">
        <v>201</v>
      </c>
      <c r="L335" s="230" t="s">
        <v>255</v>
      </c>
      <c r="M335" s="430"/>
      <c r="N335" s="430"/>
      <c r="O335" s="430"/>
      <c r="P335" s="430"/>
      <c r="Q335" s="430"/>
      <c r="R335" s="430"/>
      <c r="S335" s="430"/>
      <c r="T335" s="430"/>
      <c r="U335" s="430"/>
      <c r="V335" s="78"/>
      <c r="W335" s="78"/>
      <c r="X335" s="78"/>
      <c r="Y335" s="78"/>
      <c r="Z335" s="78"/>
      <c r="AA335" s="78"/>
      <c r="AB335" s="78"/>
      <c r="AC335" s="78"/>
      <c r="AD335" s="78"/>
      <c r="AE335" s="78"/>
      <c r="AF335" s="78"/>
      <c r="AG335" s="78"/>
      <c r="AH335" s="78"/>
      <c r="AI335" s="78"/>
      <c r="AJ335" s="78"/>
    </row>
    <row r="336" spans="1:36" s="212" customFormat="1" ht="15.75">
      <c r="A336" s="79"/>
      <c r="B336" s="79"/>
      <c r="C336" s="79"/>
      <c r="D336" s="79"/>
      <c r="E336" s="79"/>
      <c r="F336" s="79"/>
      <c r="G336" s="79"/>
      <c r="H336" s="79"/>
      <c r="I336" s="79"/>
      <c r="J336" s="79"/>
      <c r="K336" s="41" t="s">
        <v>25</v>
      </c>
      <c r="L336" s="329" t="s">
        <v>49</v>
      </c>
      <c r="M336" s="430"/>
      <c r="N336" s="430"/>
      <c r="O336" s="430"/>
      <c r="P336" s="430"/>
      <c r="Q336" s="430"/>
      <c r="R336" s="430"/>
      <c r="S336" s="430"/>
      <c r="T336" s="430"/>
      <c r="U336" s="430"/>
      <c r="V336" s="78"/>
      <c r="W336" s="78"/>
      <c r="X336" s="78"/>
      <c r="Y336" s="78"/>
      <c r="Z336" s="78"/>
      <c r="AA336" s="78"/>
      <c r="AB336" s="78"/>
      <c r="AC336" s="78"/>
      <c r="AD336" s="78"/>
      <c r="AE336" s="78"/>
      <c r="AF336" s="78"/>
      <c r="AG336" s="78"/>
      <c r="AH336" s="78"/>
      <c r="AI336" s="78"/>
      <c r="AJ336" s="78"/>
    </row>
    <row r="337" spans="1:36" s="212" customFormat="1" ht="15">
      <c r="A337" s="79" t="s">
        <v>579</v>
      </c>
      <c r="B337" s="79"/>
      <c r="C337" s="79"/>
      <c r="D337" s="79"/>
      <c r="E337" s="79"/>
      <c r="F337" s="79"/>
      <c r="G337" s="79"/>
      <c r="H337" s="79"/>
      <c r="I337" s="79"/>
      <c r="J337" s="79">
        <v>300</v>
      </c>
      <c r="K337" s="79" t="s">
        <v>131</v>
      </c>
      <c r="L337" s="218"/>
      <c r="M337" s="430"/>
      <c r="N337" s="430"/>
      <c r="O337" s="430"/>
      <c r="P337" s="430"/>
      <c r="Q337" s="430"/>
      <c r="R337" s="430"/>
      <c r="S337" s="430"/>
      <c r="T337" s="430"/>
      <c r="U337" s="430"/>
      <c r="V337" s="78"/>
      <c r="W337" s="78"/>
      <c r="X337" s="78"/>
      <c r="Y337" s="78"/>
      <c r="Z337" s="78"/>
      <c r="AA337" s="78"/>
      <c r="AB337" s="78"/>
      <c r="AC337" s="78"/>
      <c r="AD337" s="78"/>
      <c r="AE337" s="78"/>
      <c r="AF337" s="78"/>
      <c r="AG337" s="78"/>
      <c r="AH337" s="78"/>
      <c r="AI337" s="78"/>
      <c r="AJ337" s="78"/>
    </row>
    <row r="338" spans="1:36" s="212" customFormat="1" ht="15.75">
      <c r="A338" s="37" t="s">
        <v>579</v>
      </c>
      <c r="B338" s="37">
        <v>1</v>
      </c>
      <c r="C338" s="37"/>
      <c r="D338" s="37"/>
      <c r="E338" s="37"/>
      <c r="F338" s="37"/>
      <c r="G338" s="37"/>
      <c r="H338" s="37"/>
      <c r="I338" s="37"/>
      <c r="J338" s="95" t="s">
        <v>256</v>
      </c>
      <c r="K338" s="272">
        <v>3</v>
      </c>
      <c r="L338" s="273" t="s">
        <v>0</v>
      </c>
      <c r="M338" s="422">
        <f aca="true" t="shared" si="131" ref="M338:S338">M339+M342</f>
        <v>59725.26378658172</v>
      </c>
      <c r="N338" s="422">
        <f t="shared" si="131"/>
        <v>59725.26378658172</v>
      </c>
      <c r="O338" s="437">
        <f t="shared" si="131"/>
        <v>450000</v>
      </c>
      <c r="P338" s="437">
        <f t="shared" si="131"/>
        <v>59725.26378658172</v>
      </c>
      <c r="Q338" s="437">
        <f t="shared" si="131"/>
        <v>37000</v>
      </c>
      <c r="R338" s="437">
        <f t="shared" si="131"/>
        <v>68000</v>
      </c>
      <c r="S338" s="437">
        <f t="shared" si="131"/>
        <v>68000</v>
      </c>
      <c r="T338" s="437">
        <f>S338/M338*100</f>
        <v>113.85466666666666</v>
      </c>
      <c r="U338" s="437">
        <f>S338/R338*100</f>
        <v>100</v>
      </c>
      <c r="V338" s="78"/>
      <c r="W338" s="78"/>
      <c r="X338" s="78"/>
      <c r="Y338" s="78"/>
      <c r="Z338" s="78"/>
      <c r="AA338" s="78"/>
      <c r="AB338" s="78"/>
      <c r="AC338" s="78"/>
      <c r="AD338" s="78"/>
      <c r="AE338" s="78"/>
      <c r="AF338" s="78"/>
      <c r="AG338" s="78"/>
      <c r="AH338" s="78"/>
      <c r="AI338" s="78"/>
      <c r="AJ338" s="78"/>
    </row>
    <row r="339" spans="1:28" s="75" customFormat="1" ht="15.75">
      <c r="A339" s="37" t="s">
        <v>579</v>
      </c>
      <c r="B339" s="37">
        <v>1</v>
      </c>
      <c r="C339" s="37"/>
      <c r="D339" s="37"/>
      <c r="E339" s="37"/>
      <c r="F339" s="37"/>
      <c r="G339" s="37"/>
      <c r="H339" s="37"/>
      <c r="I339" s="37"/>
      <c r="J339" s="95" t="s">
        <v>256</v>
      </c>
      <c r="K339" s="272">
        <v>37</v>
      </c>
      <c r="L339" s="273" t="s">
        <v>325</v>
      </c>
      <c r="M339" s="422">
        <f aca="true" t="shared" si="132" ref="M339:S340">M340</f>
        <v>0</v>
      </c>
      <c r="N339" s="422">
        <f t="shared" si="132"/>
        <v>0</v>
      </c>
      <c r="O339" s="437">
        <f t="shared" si="132"/>
        <v>0</v>
      </c>
      <c r="P339" s="437">
        <f t="shared" si="132"/>
        <v>0</v>
      </c>
      <c r="Q339" s="437">
        <f t="shared" si="132"/>
        <v>0</v>
      </c>
      <c r="R339" s="437">
        <f t="shared" si="132"/>
        <v>0</v>
      </c>
      <c r="S339" s="437">
        <f t="shared" si="132"/>
        <v>0</v>
      </c>
      <c r="T339" s="437" t="e">
        <f aca="true" t="shared" si="133" ref="T339:T346">S339/M339*100</f>
        <v>#DIV/0!</v>
      </c>
      <c r="U339" s="437" t="e">
        <f aca="true" t="shared" si="134" ref="U339:U346">S339/R339*100</f>
        <v>#DIV/0!</v>
      </c>
      <c r="V339" s="78"/>
      <c r="W339" s="78"/>
      <c r="X339" s="78"/>
      <c r="Y339" s="78"/>
      <c r="Z339" s="78"/>
      <c r="AA339" s="78"/>
      <c r="AB339" s="78"/>
    </row>
    <row r="340" spans="1:28" s="75" customFormat="1" ht="21.75" customHeight="1">
      <c r="A340" s="37" t="s">
        <v>579</v>
      </c>
      <c r="B340" s="37">
        <v>1</v>
      </c>
      <c r="C340" s="37"/>
      <c r="D340" s="37"/>
      <c r="E340" s="37"/>
      <c r="F340" s="37"/>
      <c r="G340" s="37"/>
      <c r="H340" s="37"/>
      <c r="I340" s="37"/>
      <c r="J340" s="95" t="s">
        <v>256</v>
      </c>
      <c r="K340" s="272">
        <v>372</v>
      </c>
      <c r="L340" s="273" t="s">
        <v>326</v>
      </c>
      <c r="M340" s="422">
        <f t="shared" si="132"/>
        <v>0</v>
      </c>
      <c r="N340" s="422">
        <f t="shared" si="132"/>
        <v>0</v>
      </c>
      <c r="O340" s="437">
        <f t="shared" si="132"/>
        <v>0</v>
      </c>
      <c r="P340" s="437">
        <f t="shared" si="132"/>
        <v>0</v>
      </c>
      <c r="Q340" s="437">
        <f t="shared" si="132"/>
        <v>0</v>
      </c>
      <c r="R340" s="437">
        <f t="shared" si="132"/>
        <v>0</v>
      </c>
      <c r="S340" s="437">
        <f t="shared" si="132"/>
        <v>0</v>
      </c>
      <c r="T340" s="437" t="e">
        <f t="shared" si="133"/>
        <v>#DIV/0!</v>
      </c>
      <c r="U340" s="437" t="e">
        <f t="shared" si="134"/>
        <v>#DIV/0!</v>
      </c>
      <c r="V340" s="78"/>
      <c r="W340" s="78"/>
      <c r="X340" s="78"/>
      <c r="Y340" s="78"/>
      <c r="Z340" s="78"/>
      <c r="AA340" s="78"/>
      <c r="AB340" s="78"/>
    </row>
    <row r="341" spans="1:28" s="75" customFormat="1" ht="15.75" customHeight="1">
      <c r="A341" s="37" t="s">
        <v>579</v>
      </c>
      <c r="B341" s="37">
        <v>1</v>
      </c>
      <c r="C341" s="37"/>
      <c r="D341" s="37"/>
      <c r="E341" s="37"/>
      <c r="F341" s="37"/>
      <c r="G341" s="37"/>
      <c r="H341" s="37"/>
      <c r="I341" s="37"/>
      <c r="J341" s="95" t="s">
        <v>256</v>
      </c>
      <c r="K341" s="42">
        <v>3721</v>
      </c>
      <c r="L341" s="88" t="s">
        <v>327</v>
      </c>
      <c r="M341" s="422"/>
      <c r="N341" s="422">
        <v>0</v>
      </c>
      <c r="O341" s="422"/>
      <c r="P341" s="422"/>
      <c r="Q341" s="422"/>
      <c r="R341" s="422"/>
      <c r="S341" s="422"/>
      <c r="T341" s="437" t="e">
        <f t="shared" si="133"/>
        <v>#DIV/0!</v>
      </c>
      <c r="U341" s="437" t="e">
        <f t="shared" si="134"/>
        <v>#DIV/0!</v>
      </c>
      <c r="V341" s="78"/>
      <c r="W341" s="78"/>
      <c r="X341" s="78"/>
      <c r="Y341" s="78"/>
      <c r="Z341" s="78"/>
      <c r="AA341" s="78"/>
      <c r="AB341" s="78"/>
    </row>
    <row r="342" spans="1:28" s="75" customFormat="1" ht="15" customHeight="1">
      <c r="A342" s="37" t="s">
        <v>579</v>
      </c>
      <c r="B342" s="37">
        <v>1</v>
      </c>
      <c r="C342" s="37"/>
      <c r="D342" s="37"/>
      <c r="E342" s="37"/>
      <c r="F342" s="37"/>
      <c r="G342" s="37"/>
      <c r="H342" s="37"/>
      <c r="I342" s="37"/>
      <c r="J342" s="95" t="s">
        <v>256</v>
      </c>
      <c r="K342" s="272">
        <v>38</v>
      </c>
      <c r="L342" s="358" t="s">
        <v>77</v>
      </c>
      <c r="M342" s="422">
        <f aca="true" t="shared" si="135" ref="M342:S342">M343</f>
        <v>59725.26378658172</v>
      </c>
      <c r="N342" s="422">
        <f t="shared" si="135"/>
        <v>59725.26378658172</v>
      </c>
      <c r="O342" s="437">
        <f t="shared" si="135"/>
        <v>450000</v>
      </c>
      <c r="P342" s="437">
        <f t="shared" si="135"/>
        <v>59725.26378658172</v>
      </c>
      <c r="Q342" s="437">
        <f t="shared" si="135"/>
        <v>37000</v>
      </c>
      <c r="R342" s="437">
        <f t="shared" si="135"/>
        <v>68000</v>
      </c>
      <c r="S342" s="437">
        <f t="shared" si="135"/>
        <v>68000</v>
      </c>
      <c r="T342" s="437">
        <f t="shared" si="133"/>
        <v>113.85466666666666</v>
      </c>
      <c r="U342" s="437">
        <f t="shared" si="134"/>
        <v>100</v>
      </c>
      <c r="V342" s="78"/>
      <c r="W342" s="78"/>
      <c r="X342" s="78"/>
      <c r="Y342" s="78"/>
      <c r="Z342" s="78"/>
      <c r="AA342" s="78"/>
      <c r="AB342" s="78"/>
    </row>
    <row r="343" spans="1:28" s="75" customFormat="1" ht="22.5" customHeight="1">
      <c r="A343" s="37" t="s">
        <v>579</v>
      </c>
      <c r="B343" s="37">
        <v>1</v>
      </c>
      <c r="C343" s="37"/>
      <c r="D343" s="37"/>
      <c r="E343" s="37"/>
      <c r="F343" s="37"/>
      <c r="G343" s="37"/>
      <c r="H343" s="37"/>
      <c r="I343" s="37"/>
      <c r="J343" s="95" t="s">
        <v>256</v>
      </c>
      <c r="K343" s="272">
        <v>381</v>
      </c>
      <c r="L343" s="334" t="s">
        <v>12</v>
      </c>
      <c r="M343" s="422">
        <f aca="true" t="shared" si="136" ref="M343:S343">M345+M344</f>
        <v>59725.26378658172</v>
      </c>
      <c r="N343" s="422">
        <f t="shared" si="136"/>
        <v>59725.26378658172</v>
      </c>
      <c r="O343" s="437">
        <f t="shared" si="136"/>
        <v>450000</v>
      </c>
      <c r="P343" s="437">
        <f t="shared" si="136"/>
        <v>59725.26378658172</v>
      </c>
      <c r="Q343" s="437">
        <f t="shared" si="136"/>
        <v>37000</v>
      </c>
      <c r="R343" s="437">
        <f t="shared" si="136"/>
        <v>68000</v>
      </c>
      <c r="S343" s="437">
        <f t="shared" si="136"/>
        <v>68000</v>
      </c>
      <c r="T343" s="437">
        <f t="shared" si="133"/>
        <v>113.85466666666666</v>
      </c>
      <c r="U343" s="437">
        <f t="shared" si="134"/>
        <v>100</v>
      </c>
      <c r="V343" s="78"/>
      <c r="W343" s="78"/>
      <c r="X343" s="78"/>
      <c r="Y343" s="78"/>
      <c r="Z343" s="78"/>
      <c r="AA343" s="78"/>
      <c r="AB343" s="78"/>
    </row>
    <row r="344" spans="1:28" s="75" customFormat="1" ht="1.5" customHeight="1" hidden="1">
      <c r="A344" s="37" t="s">
        <v>579</v>
      </c>
      <c r="B344" s="37">
        <v>1</v>
      </c>
      <c r="C344" s="37"/>
      <c r="D344" s="37"/>
      <c r="E344" s="37"/>
      <c r="F344" s="37"/>
      <c r="G344" s="37"/>
      <c r="H344" s="37"/>
      <c r="I344" s="37"/>
      <c r="J344" s="95" t="s">
        <v>256</v>
      </c>
      <c r="K344" s="425">
        <v>3811</v>
      </c>
      <c r="L344" s="345" t="s">
        <v>607</v>
      </c>
      <c r="M344" s="422">
        <v>0</v>
      </c>
      <c r="N344" s="422">
        <v>0</v>
      </c>
      <c r="O344" s="437">
        <v>0</v>
      </c>
      <c r="P344" s="437">
        <v>0</v>
      </c>
      <c r="Q344" s="437">
        <v>0</v>
      </c>
      <c r="R344" s="437"/>
      <c r="S344" s="437"/>
      <c r="T344" s="437" t="e">
        <f t="shared" si="133"/>
        <v>#DIV/0!</v>
      </c>
      <c r="U344" s="437" t="e">
        <f t="shared" si="134"/>
        <v>#DIV/0!</v>
      </c>
      <c r="V344" s="78"/>
      <c r="W344" s="78"/>
      <c r="X344" s="78"/>
      <c r="Y344" s="78"/>
      <c r="Z344" s="78"/>
      <c r="AA344" s="78"/>
      <c r="AB344" s="78"/>
    </row>
    <row r="345" spans="1:28" s="75" customFormat="1" ht="20.25" customHeight="1">
      <c r="A345" s="37" t="s">
        <v>579</v>
      </c>
      <c r="B345" s="37">
        <v>1</v>
      </c>
      <c r="C345" s="37"/>
      <c r="D345" s="37"/>
      <c r="E345" s="37"/>
      <c r="F345" s="37"/>
      <c r="G345" s="37"/>
      <c r="H345" s="37"/>
      <c r="I345" s="37"/>
      <c r="J345" s="95" t="s">
        <v>256</v>
      </c>
      <c r="K345" s="42">
        <v>3811</v>
      </c>
      <c r="L345" s="345" t="s">
        <v>413</v>
      </c>
      <c r="M345" s="466">
        <f>(450000)/7.5345</f>
        <v>59725.26378658172</v>
      </c>
      <c r="N345" s="466">
        <f>450000/7.5345</f>
        <v>59725.26378658172</v>
      </c>
      <c r="O345" s="466">
        <v>450000</v>
      </c>
      <c r="P345" s="466">
        <f>450000/7.5345</f>
        <v>59725.26378658172</v>
      </c>
      <c r="Q345" s="466">
        <v>37000</v>
      </c>
      <c r="R345" s="466">
        <v>68000</v>
      </c>
      <c r="S345" s="466">
        <v>68000</v>
      </c>
      <c r="T345" s="437">
        <f t="shared" si="133"/>
        <v>113.85466666666666</v>
      </c>
      <c r="U345" s="437">
        <f t="shared" si="134"/>
        <v>100</v>
      </c>
      <c r="V345" s="78"/>
      <c r="W345" s="78"/>
      <c r="X345" s="78"/>
      <c r="Y345" s="78"/>
      <c r="Z345" s="78"/>
      <c r="AA345" s="78"/>
      <c r="AB345" s="78"/>
    </row>
    <row r="346" spans="1:28" s="75" customFormat="1" ht="15.75">
      <c r="A346" s="125"/>
      <c r="B346" s="125"/>
      <c r="C346" s="125"/>
      <c r="D346" s="125"/>
      <c r="E346" s="125"/>
      <c r="F346" s="125"/>
      <c r="G346" s="125"/>
      <c r="H346" s="125"/>
      <c r="I346" s="125"/>
      <c r="J346" s="129"/>
      <c r="K346" s="126"/>
      <c r="L346" s="348" t="s">
        <v>137</v>
      </c>
      <c r="M346" s="421">
        <f aca="true" t="shared" si="137" ref="M346:S346">M338</f>
        <v>59725.26378658172</v>
      </c>
      <c r="N346" s="421">
        <f t="shared" si="137"/>
        <v>59725.26378658172</v>
      </c>
      <c r="O346" s="421">
        <f t="shared" si="137"/>
        <v>450000</v>
      </c>
      <c r="P346" s="421">
        <f t="shared" si="137"/>
        <v>59725.26378658172</v>
      </c>
      <c r="Q346" s="421">
        <f t="shared" si="137"/>
        <v>37000</v>
      </c>
      <c r="R346" s="421">
        <f t="shared" si="137"/>
        <v>68000</v>
      </c>
      <c r="S346" s="421">
        <f t="shared" si="137"/>
        <v>68000</v>
      </c>
      <c r="T346" s="421">
        <f t="shared" si="133"/>
        <v>113.85466666666666</v>
      </c>
      <c r="U346" s="421">
        <f t="shared" si="134"/>
        <v>100</v>
      </c>
      <c r="V346" s="78"/>
      <c r="W346" s="78"/>
      <c r="X346" s="78"/>
      <c r="Y346" s="78"/>
      <c r="Z346" s="78"/>
      <c r="AA346" s="78"/>
      <c r="AB346" s="78"/>
    </row>
    <row r="347" spans="1:36" s="128" customFormat="1" ht="15.75">
      <c r="A347" s="18"/>
      <c r="B347" s="18"/>
      <c r="C347" s="18"/>
      <c r="D347" s="18"/>
      <c r="E347" s="18"/>
      <c r="F347" s="18"/>
      <c r="G347" s="18"/>
      <c r="H347" s="18"/>
      <c r="I347" s="18"/>
      <c r="J347" s="95"/>
      <c r="K347" s="31"/>
      <c r="L347" s="59"/>
      <c r="M347" s="467"/>
      <c r="N347" s="467"/>
      <c r="O347" s="467"/>
      <c r="P347" s="467"/>
      <c r="Q347" s="467"/>
      <c r="R347" s="467"/>
      <c r="S347" s="467"/>
      <c r="T347" s="467"/>
      <c r="U347" s="467"/>
      <c r="V347" s="78"/>
      <c r="W347" s="78"/>
      <c r="X347" s="78"/>
      <c r="Y347" s="78"/>
      <c r="Z347" s="78"/>
      <c r="AA347" s="78"/>
      <c r="AB347" s="78"/>
      <c r="AC347" s="75"/>
      <c r="AD347" s="75"/>
      <c r="AE347" s="75"/>
      <c r="AF347" s="75"/>
      <c r="AG347" s="75"/>
      <c r="AH347" s="75"/>
      <c r="AI347" s="75"/>
      <c r="AJ347" s="75"/>
    </row>
    <row r="348" spans="1:21" s="78" customFormat="1" ht="15" customHeight="1">
      <c r="A348" s="65"/>
      <c r="B348" s="65"/>
      <c r="C348" s="65"/>
      <c r="D348" s="65"/>
      <c r="E348" s="65"/>
      <c r="F348" s="65"/>
      <c r="G348" s="65"/>
      <c r="H348" s="65"/>
      <c r="I348" s="65"/>
      <c r="J348" s="65"/>
      <c r="K348" s="165"/>
      <c r="L348" s="509"/>
      <c r="M348" s="453"/>
      <c r="N348" s="453"/>
      <c r="O348" s="453"/>
      <c r="P348" s="453"/>
      <c r="Q348" s="453"/>
      <c r="R348" s="453"/>
      <c r="S348" s="453"/>
      <c r="T348" s="453"/>
      <c r="U348" s="453"/>
    </row>
    <row r="349" spans="1:36" s="212" customFormat="1" ht="31.5" customHeight="1">
      <c r="A349" s="150" t="s">
        <v>580</v>
      </c>
      <c r="B349" s="79"/>
      <c r="C349" s="79"/>
      <c r="D349" s="79"/>
      <c r="E349" s="79"/>
      <c r="F349" s="79"/>
      <c r="G349" s="79"/>
      <c r="H349" s="79"/>
      <c r="I349" s="79"/>
      <c r="J349" s="79">
        <v>321</v>
      </c>
      <c r="K349" s="41" t="s">
        <v>48</v>
      </c>
      <c r="L349" s="367" t="s">
        <v>524</v>
      </c>
      <c r="M349" s="430"/>
      <c r="N349" s="430"/>
      <c r="O349" s="430"/>
      <c r="P349" s="430"/>
      <c r="Q349" s="430"/>
      <c r="R349" s="430"/>
      <c r="S349" s="430"/>
      <c r="T349" s="430"/>
      <c r="U349" s="430"/>
      <c r="V349" s="78"/>
      <c r="W349" s="78"/>
      <c r="X349" s="78"/>
      <c r="Y349" s="78"/>
      <c r="Z349" s="78"/>
      <c r="AA349" s="78"/>
      <c r="AB349" s="78"/>
      <c r="AC349" s="78"/>
      <c r="AD349" s="78"/>
      <c r="AE349" s="78"/>
      <c r="AF349" s="78"/>
      <c r="AG349" s="78"/>
      <c r="AH349" s="78"/>
      <c r="AI349" s="78"/>
      <c r="AJ349" s="78"/>
    </row>
    <row r="350" spans="1:28" s="75" customFormat="1" ht="15" customHeight="1">
      <c r="A350" s="37" t="s">
        <v>581</v>
      </c>
      <c r="B350" s="37">
        <v>1</v>
      </c>
      <c r="C350" s="37"/>
      <c r="D350" s="37"/>
      <c r="E350" s="37"/>
      <c r="F350" s="37"/>
      <c r="G350" s="37"/>
      <c r="H350" s="37"/>
      <c r="I350" s="37"/>
      <c r="J350" s="37">
        <v>320</v>
      </c>
      <c r="K350" s="272">
        <v>3</v>
      </c>
      <c r="L350" s="337" t="s">
        <v>0</v>
      </c>
      <c r="M350" s="422">
        <f aca="true" t="shared" si="138" ref="M350:S350">M351</f>
        <v>3691.4194704359943</v>
      </c>
      <c r="N350" s="422">
        <f t="shared" si="138"/>
        <v>5972.526378658172</v>
      </c>
      <c r="O350" s="437">
        <f t="shared" si="138"/>
        <v>45000</v>
      </c>
      <c r="P350" s="437">
        <f t="shared" si="138"/>
        <v>5972.526378658172</v>
      </c>
      <c r="Q350" s="437">
        <f t="shared" si="138"/>
        <v>475</v>
      </c>
      <c r="R350" s="437">
        <f t="shared" si="138"/>
        <v>1400</v>
      </c>
      <c r="S350" s="437">
        <f t="shared" si="138"/>
        <v>1475</v>
      </c>
      <c r="T350" s="437">
        <f>S350/M350*100</f>
        <v>39.95752885341387</v>
      </c>
      <c r="U350" s="437">
        <f>S350/R350*100</f>
        <v>105.35714285714286</v>
      </c>
      <c r="V350" s="78"/>
      <c r="W350" s="78"/>
      <c r="X350" s="78"/>
      <c r="Y350" s="78"/>
      <c r="Z350" s="78"/>
      <c r="AA350" s="78"/>
      <c r="AB350" s="78"/>
    </row>
    <row r="351" spans="1:28" s="75" customFormat="1" ht="19.5" customHeight="1">
      <c r="A351" s="37" t="s">
        <v>581</v>
      </c>
      <c r="B351" s="37">
        <v>1</v>
      </c>
      <c r="C351" s="37"/>
      <c r="D351" s="37"/>
      <c r="E351" s="37"/>
      <c r="F351" s="37"/>
      <c r="G351" s="37"/>
      <c r="H351" s="37"/>
      <c r="I351" s="37"/>
      <c r="J351" s="37">
        <v>320</v>
      </c>
      <c r="K351" s="272">
        <v>32</v>
      </c>
      <c r="L351" s="278" t="s">
        <v>5</v>
      </c>
      <c r="M351" s="422">
        <f aca="true" t="shared" si="139" ref="M351:S351">M354+M352</f>
        <v>3691.4194704359943</v>
      </c>
      <c r="N351" s="422">
        <f t="shared" si="139"/>
        <v>5972.526378658172</v>
      </c>
      <c r="O351" s="437">
        <f t="shared" si="139"/>
        <v>45000</v>
      </c>
      <c r="P351" s="437">
        <f t="shared" si="139"/>
        <v>5972.526378658172</v>
      </c>
      <c r="Q351" s="437">
        <f t="shared" si="139"/>
        <v>475</v>
      </c>
      <c r="R351" s="437">
        <f t="shared" si="139"/>
        <v>1400</v>
      </c>
      <c r="S351" s="437">
        <f t="shared" si="139"/>
        <v>1475</v>
      </c>
      <c r="T351" s="437">
        <f aca="true" t="shared" si="140" ref="T351:T360">S351/M351*100</f>
        <v>39.95752885341387</v>
      </c>
      <c r="U351" s="437">
        <f aca="true" t="shared" si="141" ref="U351:U360">S351/R351*100</f>
        <v>105.35714285714286</v>
      </c>
      <c r="V351" s="78"/>
      <c r="W351" s="78"/>
      <c r="X351" s="78"/>
      <c r="Y351" s="78"/>
      <c r="Z351" s="78"/>
      <c r="AA351" s="78"/>
      <c r="AB351" s="78"/>
    </row>
    <row r="352" spans="1:28" s="75" customFormat="1" ht="19.5" customHeight="1">
      <c r="A352" s="37" t="s">
        <v>581</v>
      </c>
      <c r="B352" s="37">
        <v>1</v>
      </c>
      <c r="C352" s="37"/>
      <c r="D352" s="37"/>
      <c r="E352" s="37"/>
      <c r="F352" s="37"/>
      <c r="G352" s="37"/>
      <c r="H352" s="37"/>
      <c r="I352" s="37"/>
      <c r="J352" s="37">
        <v>320</v>
      </c>
      <c r="K352" s="272">
        <v>322</v>
      </c>
      <c r="L352" s="278" t="s">
        <v>26</v>
      </c>
      <c r="M352" s="422">
        <f aca="true" t="shared" si="142" ref="M352:S352">M353</f>
        <v>0</v>
      </c>
      <c r="N352" s="422">
        <f t="shared" si="142"/>
        <v>663.6140420731302</v>
      </c>
      <c r="O352" s="437">
        <f t="shared" si="142"/>
        <v>5000</v>
      </c>
      <c r="P352" s="437">
        <f t="shared" si="142"/>
        <v>663.6140420731302</v>
      </c>
      <c r="Q352" s="437">
        <f t="shared" si="142"/>
        <v>0</v>
      </c>
      <c r="R352" s="437">
        <f t="shared" si="142"/>
        <v>0</v>
      </c>
      <c r="S352" s="437">
        <f t="shared" si="142"/>
        <v>0</v>
      </c>
      <c r="T352" s="437" t="e">
        <f t="shared" si="140"/>
        <v>#DIV/0!</v>
      </c>
      <c r="U352" s="437" t="e">
        <f t="shared" si="141"/>
        <v>#DIV/0!</v>
      </c>
      <c r="V352" s="78"/>
      <c r="W352" s="78"/>
      <c r="X352" s="78"/>
      <c r="Y352" s="78"/>
      <c r="Z352" s="78"/>
      <c r="AA352" s="78"/>
      <c r="AB352" s="78"/>
    </row>
    <row r="353" spans="1:28" s="75" customFormat="1" ht="18.75" customHeight="1">
      <c r="A353" s="37" t="s">
        <v>581</v>
      </c>
      <c r="B353" s="37">
        <v>1</v>
      </c>
      <c r="C353" s="37"/>
      <c r="D353" s="37"/>
      <c r="E353" s="37"/>
      <c r="F353" s="37"/>
      <c r="G353" s="37"/>
      <c r="H353" s="37"/>
      <c r="I353" s="37"/>
      <c r="J353" s="37">
        <v>320</v>
      </c>
      <c r="K353" s="42">
        <v>3222</v>
      </c>
      <c r="L353" s="330" t="s">
        <v>545</v>
      </c>
      <c r="M353" s="422">
        <v>0</v>
      </c>
      <c r="N353" s="510">
        <f>5000/7.5345</f>
        <v>663.6140420731302</v>
      </c>
      <c r="O353" s="510">
        <v>5000</v>
      </c>
      <c r="P353" s="510">
        <f>5000/7.5345</f>
        <v>663.6140420731302</v>
      </c>
      <c r="Q353" s="422">
        <v>0</v>
      </c>
      <c r="R353" s="422">
        <v>0</v>
      </c>
      <c r="S353" s="422"/>
      <c r="T353" s="437" t="e">
        <f t="shared" si="140"/>
        <v>#DIV/0!</v>
      </c>
      <c r="U353" s="437" t="e">
        <f t="shared" si="141"/>
        <v>#DIV/0!</v>
      </c>
      <c r="V353" s="78"/>
      <c r="W353" s="78"/>
      <c r="X353" s="78"/>
      <c r="Y353" s="78"/>
      <c r="Z353" s="78"/>
      <c r="AA353" s="78"/>
      <c r="AB353" s="78"/>
    </row>
    <row r="354" spans="1:28" s="75" customFormat="1" ht="23.25" customHeight="1">
      <c r="A354" s="37" t="s">
        <v>581</v>
      </c>
      <c r="B354" s="37">
        <v>1</v>
      </c>
      <c r="C354" s="37"/>
      <c r="D354" s="37"/>
      <c r="E354" s="37"/>
      <c r="F354" s="37"/>
      <c r="G354" s="37"/>
      <c r="H354" s="37"/>
      <c r="I354" s="37"/>
      <c r="J354" s="37">
        <v>320</v>
      </c>
      <c r="K354" s="272">
        <v>323</v>
      </c>
      <c r="L354" s="273" t="s">
        <v>7</v>
      </c>
      <c r="M354" s="422">
        <f aca="true" t="shared" si="143" ref="M354:S354">M355</f>
        <v>3691.4194704359943</v>
      </c>
      <c r="N354" s="422">
        <f t="shared" si="143"/>
        <v>5308.912336585042</v>
      </c>
      <c r="O354" s="437">
        <f t="shared" si="143"/>
        <v>40000</v>
      </c>
      <c r="P354" s="437">
        <f t="shared" si="143"/>
        <v>5308.912336585042</v>
      </c>
      <c r="Q354" s="437">
        <f t="shared" si="143"/>
        <v>475</v>
      </c>
      <c r="R354" s="437">
        <f t="shared" si="143"/>
        <v>1400</v>
      </c>
      <c r="S354" s="437">
        <f t="shared" si="143"/>
        <v>1475</v>
      </c>
      <c r="T354" s="437">
        <f t="shared" si="140"/>
        <v>39.95752885341387</v>
      </c>
      <c r="U354" s="437">
        <f t="shared" si="141"/>
        <v>105.35714285714286</v>
      </c>
      <c r="V354" s="78"/>
      <c r="W354" s="78"/>
      <c r="X354" s="78"/>
      <c r="Y354" s="78"/>
      <c r="Z354" s="78"/>
      <c r="AA354" s="78"/>
      <c r="AB354" s="78"/>
    </row>
    <row r="355" spans="1:28" s="75" customFormat="1" ht="28.5" customHeight="1">
      <c r="A355" s="37" t="s">
        <v>581</v>
      </c>
      <c r="B355" s="37">
        <v>1</v>
      </c>
      <c r="C355" s="37"/>
      <c r="D355" s="37"/>
      <c r="E355" s="37"/>
      <c r="F355" s="37"/>
      <c r="G355" s="37"/>
      <c r="H355" s="37"/>
      <c r="I355" s="37"/>
      <c r="J355" s="37">
        <v>320</v>
      </c>
      <c r="K355" s="42">
        <v>3237</v>
      </c>
      <c r="L355" s="88" t="s">
        <v>101</v>
      </c>
      <c r="M355" s="468">
        <f>27813/7.5345</f>
        <v>3691.4194704359943</v>
      </c>
      <c r="N355" s="468">
        <f>40000/7.5345</f>
        <v>5308.912336585042</v>
      </c>
      <c r="O355" s="468">
        <v>40000</v>
      </c>
      <c r="P355" s="468">
        <f>40000/7.5345</f>
        <v>5308.912336585042</v>
      </c>
      <c r="Q355" s="468">
        <v>475</v>
      </c>
      <c r="R355" s="468">
        <v>1400</v>
      </c>
      <c r="S355" s="468">
        <v>1475</v>
      </c>
      <c r="T355" s="437">
        <f t="shared" si="140"/>
        <v>39.95752885341387</v>
      </c>
      <c r="U355" s="437">
        <f t="shared" si="141"/>
        <v>105.35714285714286</v>
      </c>
      <c r="V355" s="78"/>
      <c r="W355" s="78"/>
      <c r="X355" s="78"/>
      <c r="Y355" s="78"/>
      <c r="Z355" s="78"/>
      <c r="AA355" s="78"/>
      <c r="AB355" s="78"/>
    </row>
    <row r="356" spans="1:28" s="75" customFormat="1" ht="15.75">
      <c r="A356" s="37" t="s">
        <v>581</v>
      </c>
      <c r="B356" s="37">
        <v>1</v>
      </c>
      <c r="C356" s="37"/>
      <c r="D356" s="37"/>
      <c r="E356" s="37"/>
      <c r="F356" s="37"/>
      <c r="G356" s="37"/>
      <c r="H356" s="37"/>
      <c r="I356" s="37"/>
      <c r="J356" s="37">
        <v>220</v>
      </c>
      <c r="K356" s="272">
        <v>4</v>
      </c>
      <c r="L356" s="334" t="s">
        <v>1</v>
      </c>
      <c r="M356" s="422">
        <f aca="true" t="shared" si="144" ref="M356:S358">M357</f>
        <v>0</v>
      </c>
      <c r="N356" s="422">
        <f t="shared" si="144"/>
        <v>663.6140420731302</v>
      </c>
      <c r="O356" s="437">
        <f t="shared" si="144"/>
        <v>5000</v>
      </c>
      <c r="P356" s="437">
        <f t="shared" si="144"/>
        <v>663.6140420731302</v>
      </c>
      <c r="Q356" s="437">
        <f t="shared" si="144"/>
        <v>0</v>
      </c>
      <c r="R356" s="437">
        <f t="shared" si="144"/>
        <v>0</v>
      </c>
      <c r="S356" s="437">
        <f t="shared" si="144"/>
        <v>0</v>
      </c>
      <c r="T356" s="437" t="e">
        <f t="shared" si="140"/>
        <v>#DIV/0!</v>
      </c>
      <c r="U356" s="437" t="e">
        <f t="shared" si="141"/>
        <v>#DIV/0!</v>
      </c>
      <c r="V356" s="78"/>
      <c r="W356" s="78"/>
      <c r="X356" s="78"/>
      <c r="Y356" s="78"/>
      <c r="Z356" s="78"/>
      <c r="AA356" s="78"/>
      <c r="AB356" s="78"/>
    </row>
    <row r="357" spans="1:28" s="75" customFormat="1" ht="15">
      <c r="A357" s="37" t="s">
        <v>581</v>
      </c>
      <c r="B357" s="37">
        <v>1</v>
      </c>
      <c r="C357" s="37"/>
      <c r="D357" s="37"/>
      <c r="E357" s="37"/>
      <c r="F357" s="37"/>
      <c r="G357" s="37"/>
      <c r="H357" s="37"/>
      <c r="I357" s="37"/>
      <c r="J357" s="37">
        <v>220</v>
      </c>
      <c r="K357" s="272">
        <v>42</v>
      </c>
      <c r="L357" s="358" t="s">
        <v>28</v>
      </c>
      <c r="M357" s="422">
        <f t="shared" si="144"/>
        <v>0</v>
      </c>
      <c r="N357" s="422">
        <f t="shared" si="144"/>
        <v>663.6140420731302</v>
      </c>
      <c r="O357" s="437">
        <f t="shared" si="144"/>
        <v>5000</v>
      </c>
      <c r="P357" s="437">
        <f t="shared" si="144"/>
        <v>663.6140420731302</v>
      </c>
      <c r="Q357" s="437">
        <f t="shared" si="144"/>
        <v>0</v>
      </c>
      <c r="R357" s="437">
        <f t="shared" si="144"/>
        <v>0</v>
      </c>
      <c r="S357" s="437">
        <f t="shared" si="144"/>
        <v>0</v>
      </c>
      <c r="T357" s="437" t="e">
        <f t="shared" si="140"/>
        <v>#DIV/0!</v>
      </c>
      <c r="U357" s="437" t="e">
        <f t="shared" si="141"/>
        <v>#DIV/0!</v>
      </c>
      <c r="V357" s="78"/>
      <c r="W357" s="78"/>
      <c r="X357" s="78"/>
      <c r="Y357" s="78"/>
      <c r="Z357" s="78"/>
      <c r="AA357" s="78"/>
      <c r="AB357" s="78"/>
    </row>
    <row r="358" spans="1:28" s="75" customFormat="1" ht="20.25" customHeight="1">
      <c r="A358" s="37" t="s">
        <v>581</v>
      </c>
      <c r="B358" s="37">
        <v>1</v>
      </c>
      <c r="C358" s="37"/>
      <c r="D358" s="37"/>
      <c r="E358" s="37"/>
      <c r="F358" s="37"/>
      <c r="G358" s="37"/>
      <c r="H358" s="37"/>
      <c r="I358" s="37"/>
      <c r="J358" s="37">
        <v>220</v>
      </c>
      <c r="K358" s="272">
        <v>422</v>
      </c>
      <c r="L358" s="334" t="s">
        <v>14</v>
      </c>
      <c r="M358" s="422">
        <f t="shared" si="144"/>
        <v>0</v>
      </c>
      <c r="N358" s="422">
        <f t="shared" si="144"/>
        <v>663.6140420731302</v>
      </c>
      <c r="O358" s="437">
        <f t="shared" si="144"/>
        <v>5000</v>
      </c>
      <c r="P358" s="437">
        <f t="shared" si="144"/>
        <v>663.6140420731302</v>
      </c>
      <c r="Q358" s="437">
        <f t="shared" si="144"/>
        <v>0</v>
      </c>
      <c r="R358" s="437">
        <f t="shared" si="144"/>
        <v>0</v>
      </c>
      <c r="S358" s="437">
        <f t="shared" si="144"/>
        <v>0</v>
      </c>
      <c r="T358" s="437" t="e">
        <f t="shared" si="140"/>
        <v>#DIV/0!</v>
      </c>
      <c r="U358" s="437" t="e">
        <f t="shared" si="141"/>
        <v>#DIV/0!</v>
      </c>
      <c r="V358" s="78"/>
      <c r="W358" s="78"/>
      <c r="X358" s="78"/>
      <c r="Y358" s="78"/>
      <c r="Z358" s="78"/>
      <c r="AA358" s="78"/>
      <c r="AB358" s="78"/>
    </row>
    <row r="359" spans="1:28" s="75" customFormat="1" ht="21.75" customHeight="1">
      <c r="A359" s="37" t="s">
        <v>581</v>
      </c>
      <c r="B359" s="37">
        <v>1</v>
      </c>
      <c r="C359" s="37"/>
      <c r="D359" s="37"/>
      <c r="E359" s="37"/>
      <c r="F359" s="37"/>
      <c r="G359" s="37"/>
      <c r="H359" s="37"/>
      <c r="I359" s="37"/>
      <c r="J359" s="37">
        <v>220</v>
      </c>
      <c r="K359" s="42">
        <v>4223</v>
      </c>
      <c r="L359" s="345" t="s">
        <v>328</v>
      </c>
      <c r="M359" s="422">
        <v>0</v>
      </c>
      <c r="N359" s="510">
        <f>5000/7.5345</f>
        <v>663.6140420731302</v>
      </c>
      <c r="O359" s="510">
        <v>5000</v>
      </c>
      <c r="P359" s="510">
        <f>5000/7.5345</f>
        <v>663.6140420731302</v>
      </c>
      <c r="Q359" s="422">
        <v>0</v>
      </c>
      <c r="R359" s="422">
        <v>0</v>
      </c>
      <c r="S359" s="422"/>
      <c r="T359" s="437" t="e">
        <f t="shared" si="140"/>
        <v>#DIV/0!</v>
      </c>
      <c r="U359" s="437" t="e">
        <f t="shared" si="141"/>
        <v>#DIV/0!</v>
      </c>
      <c r="V359" s="78"/>
      <c r="W359" s="78"/>
      <c r="X359" s="78"/>
      <c r="Y359" s="78"/>
      <c r="Z359" s="78"/>
      <c r="AA359" s="78"/>
      <c r="AB359" s="78"/>
    </row>
    <row r="360" spans="1:36" s="128" customFormat="1" ht="15.75">
      <c r="A360" s="125"/>
      <c r="B360" s="125"/>
      <c r="C360" s="125"/>
      <c r="D360" s="125"/>
      <c r="E360" s="125"/>
      <c r="F360" s="125"/>
      <c r="G360" s="125"/>
      <c r="H360" s="125"/>
      <c r="I360" s="125"/>
      <c r="J360" s="125"/>
      <c r="K360" s="126"/>
      <c r="L360" s="127" t="s">
        <v>86</v>
      </c>
      <c r="M360" s="421">
        <f aca="true" t="shared" si="145" ref="M360:S360">M350+M356</f>
        <v>3691.4194704359943</v>
      </c>
      <c r="N360" s="421">
        <f t="shared" si="145"/>
        <v>6636.140420731302</v>
      </c>
      <c r="O360" s="421">
        <f t="shared" si="145"/>
        <v>50000</v>
      </c>
      <c r="P360" s="421">
        <f t="shared" si="145"/>
        <v>6636.140420731302</v>
      </c>
      <c r="Q360" s="421">
        <f t="shared" si="145"/>
        <v>475</v>
      </c>
      <c r="R360" s="421">
        <f t="shared" si="145"/>
        <v>1400</v>
      </c>
      <c r="S360" s="421">
        <f t="shared" si="145"/>
        <v>1475</v>
      </c>
      <c r="T360" s="421">
        <f t="shared" si="140"/>
        <v>39.95752885341387</v>
      </c>
      <c r="U360" s="421">
        <f t="shared" si="141"/>
        <v>105.35714285714286</v>
      </c>
      <c r="V360" s="78"/>
      <c r="W360" s="78"/>
      <c r="X360" s="78"/>
      <c r="Y360" s="78"/>
      <c r="Z360" s="78"/>
      <c r="AA360" s="78"/>
      <c r="AB360" s="78"/>
      <c r="AC360" s="75"/>
      <c r="AD360" s="75"/>
      <c r="AE360" s="75"/>
      <c r="AF360" s="75"/>
      <c r="AG360" s="75"/>
      <c r="AH360" s="75"/>
      <c r="AI360" s="75"/>
      <c r="AJ360" s="75"/>
    </row>
    <row r="361" spans="1:36" s="46" customFormat="1" ht="15">
      <c r="A361" s="38"/>
      <c r="B361" s="38"/>
      <c r="C361" s="38"/>
      <c r="D361" s="38"/>
      <c r="E361" s="38"/>
      <c r="F361" s="38"/>
      <c r="G361" s="38"/>
      <c r="H361" s="38"/>
      <c r="I361" s="38"/>
      <c r="J361" s="38"/>
      <c r="K361" s="38"/>
      <c r="L361" s="62"/>
      <c r="M361" s="429"/>
      <c r="N361" s="429"/>
      <c r="O361" s="429"/>
      <c r="P361" s="429"/>
      <c r="Q361" s="429"/>
      <c r="R361" s="429"/>
      <c r="S361" s="429"/>
      <c r="T361" s="429"/>
      <c r="U361" s="429"/>
      <c r="V361" s="78"/>
      <c r="W361" s="78"/>
      <c r="X361" s="78"/>
      <c r="Y361" s="78"/>
      <c r="Z361" s="78"/>
      <c r="AA361" s="78"/>
      <c r="AB361" s="78"/>
      <c r="AC361" s="78"/>
      <c r="AD361" s="78"/>
      <c r="AE361" s="78"/>
      <c r="AF361" s="78"/>
      <c r="AG361" s="78"/>
      <c r="AH361" s="78"/>
      <c r="AI361" s="78"/>
      <c r="AJ361" s="78"/>
    </row>
    <row r="362" spans="1:36" s="212" customFormat="1" ht="15">
      <c r="A362" s="79" t="s">
        <v>204</v>
      </c>
      <c r="B362" s="79"/>
      <c r="C362" s="79"/>
      <c r="D362" s="79"/>
      <c r="E362" s="79"/>
      <c r="F362" s="79"/>
      <c r="G362" s="79"/>
      <c r="H362" s="79"/>
      <c r="I362" s="79"/>
      <c r="J362" s="79"/>
      <c r="K362" s="41" t="s">
        <v>203</v>
      </c>
      <c r="L362" s="613" t="s">
        <v>355</v>
      </c>
      <c r="M362" s="430"/>
      <c r="N362" s="430"/>
      <c r="O362" s="430"/>
      <c r="P362" s="430"/>
      <c r="Q362" s="430"/>
      <c r="R362" s="430"/>
      <c r="S362" s="430"/>
      <c r="T362" s="430"/>
      <c r="U362" s="430"/>
      <c r="V362" s="78"/>
      <c r="W362" s="78"/>
      <c r="X362" s="78"/>
      <c r="Y362" s="78"/>
      <c r="Z362" s="78"/>
      <c r="AA362" s="78"/>
      <c r="AB362" s="78"/>
      <c r="AC362" s="78"/>
      <c r="AD362" s="78"/>
      <c r="AE362" s="78"/>
      <c r="AF362" s="78"/>
      <c r="AG362" s="78"/>
      <c r="AH362" s="78"/>
      <c r="AI362" s="78"/>
      <c r="AJ362" s="78"/>
    </row>
    <row r="363" spans="1:36" s="212" customFormat="1" ht="29.25" customHeight="1">
      <c r="A363" s="79" t="s">
        <v>582</v>
      </c>
      <c r="B363" s="79"/>
      <c r="C363" s="79"/>
      <c r="D363" s="79"/>
      <c r="E363" s="79"/>
      <c r="F363" s="79"/>
      <c r="G363" s="79"/>
      <c r="H363" s="79"/>
      <c r="I363" s="79"/>
      <c r="J363" s="79"/>
      <c r="K363" s="41" t="s">
        <v>50</v>
      </c>
      <c r="L363" s="615"/>
      <c r="M363" s="430"/>
      <c r="N363" s="430"/>
      <c r="O363" s="430"/>
      <c r="P363" s="430"/>
      <c r="Q363" s="430"/>
      <c r="R363" s="430"/>
      <c r="S363" s="430"/>
      <c r="T363" s="430"/>
      <c r="U363" s="430"/>
      <c r="V363" s="78"/>
      <c r="W363" s="78"/>
      <c r="X363" s="78"/>
      <c r="Y363" s="78"/>
      <c r="Z363" s="78"/>
      <c r="AA363" s="78"/>
      <c r="AB363" s="78"/>
      <c r="AC363" s="78"/>
      <c r="AD363" s="78"/>
      <c r="AE363" s="78"/>
      <c r="AF363" s="78"/>
      <c r="AG363" s="78"/>
      <c r="AH363" s="78"/>
      <c r="AI363" s="78"/>
      <c r="AJ363" s="78"/>
    </row>
    <row r="364" spans="1:28" s="75" customFormat="1" ht="30" customHeight="1">
      <c r="A364" s="37" t="s">
        <v>582</v>
      </c>
      <c r="B364" s="37">
        <v>1</v>
      </c>
      <c r="C364" s="37"/>
      <c r="D364" s="37">
        <v>3</v>
      </c>
      <c r="E364" s="37">
        <v>4</v>
      </c>
      <c r="F364" s="37">
        <v>5</v>
      </c>
      <c r="G364" s="37"/>
      <c r="H364" s="37"/>
      <c r="I364" s="37"/>
      <c r="J364" s="37">
        <v>620</v>
      </c>
      <c r="K364" s="272">
        <v>3</v>
      </c>
      <c r="L364" s="273" t="s">
        <v>0</v>
      </c>
      <c r="M364" s="422">
        <f aca="true" t="shared" si="146" ref="M364:S365">M365</f>
        <v>1192.116265180171</v>
      </c>
      <c r="N364" s="422">
        <f t="shared" si="146"/>
        <v>31189.85997743712</v>
      </c>
      <c r="O364" s="437">
        <f t="shared" si="146"/>
        <v>389862.63189329085</v>
      </c>
      <c r="P364" s="437">
        <f t="shared" si="146"/>
        <v>100189.85997743713</v>
      </c>
      <c r="Q364" s="437">
        <f t="shared" si="146"/>
        <v>31066.24</v>
      </c>
      <c r="R364" s="437">
        <f t="shared" si="146"/>
        <v>123134.15</v>
      </c>
      <c r="S364" s="437">
        <f t="shared" si="146"/>
        <v>111759.35</v>
      </c>
      <c r="T364" s="437">
        <f>S364/M364*100</f>
        <v>9374.869990814965</v>
      </c>
      <c r="U364" s="437">
        <f>S364/R364*100</f>
        <v>90.76227025565208</v>
      </c>
      <c r="V364" s="78"/>
      <c r="W364" s="78"/>
      <c r="X364" s="78"/>
      <c r="Y364" s="78"/>
      <c r="Z364" s="78"/>
      <c r="AA364" s="78"/>
      <c r="AB364" s="78"/>
    </row>
    <row r="365" spans="1:28" s="75" customFormat="1" ht="36.75" customHeight="1">
      <c r="A365" s="37" t="s">
        <v>582</v>
      </c>
      <c r="B365" s="37">
        <v>1</v>
      </c>
      <c r="C365" s="37"/>
      <c r="D365" s="37">
        <v>3</v>
      </c>
      <c r="E365" s="37">
        <v>4</v>
      </c>
      <c r="F365" s="37">
        <v>5</v>
      </c>
      <c r="G365" s="37"/>
      <c r="H365" s="37"/>
      <c r="I365" s="37"/>
      <c r="J365" s="37">
        <v>620</v>
      </c>
      <c r="K365" s="272">
        <v>32</v>
      </c>
      <c r="L365" s="278" t="s">
        <v>5</v>
      </c>
      <c r="M365" s="422">
        <f t="shared" si="146"/>
        <v>1192.116265180171</v>
      </c>
      <c r="N365" s="422">
        <f t="shared" si="146"/>
        <v>31189.85997743712</v>
      </c>
      <c r="O365" s="437">
        <f t="shared" si="146"/>
        <v>389862.63189329085</v>
      </c>
      <c r="P365" s="437">
        <f t="shared" si="146"/>
        <v>100189.85997743713</v>
      </c>
      <c r="Q365" s="437">
        <f t="shared" si="146"/>
        <v>31066.24</v>
      </c>
      <c r="R365" s="437">
        <f t="shared" si="146"/>
        <v>123134.15</v>
      </c>
      <c r="S365" s="437">
        <f t="shared" si="146"/>
        <v>111759.35</v>
      </c>
      <c r="T365" s="437">
        <f aca="true" t="shared" si="147" ref="T365:T379">S365/M365*100</f>
        <v>9374.869990814965</v>
      </c>
      <c r="U365" s="437">
        <f aca="true" t="shared" si="148" ref="U365:U379">S365/R365*100</f>
        <v>90.76227025565208</v>
      </c>
      <c r="V365" s="78"/>
      <c r="W365" s="78"/>
      <c r="X365" s="78"/>
      <c r="Y365" s="78"/>
      <c r="Z365" s="78"/>
      <c r="AA365" s="78"/>
      <c r="AB365" s="78"/>
    </row>
    <row r="366" spans="1:28" s="75" customFormat="1" ht="29.25" customHeight="1">
      <c r="A366" s="37" t="s">
        <v>582</v>
      </c>
      <c r="B366" s="37">
        <v>1</v>
      </c>
      <c r="C366" s="37"/>
      <c r="D366" s="37">
        <v>3</v>
      </c>
      <c r="E366" s="37">
        <v>4</v>
      </c>
      <c r="F366" s="37">
        <v>5</v>
      </c>
      <c r="G366" s="37"/>
      <c r="H366" s="37"/>
      <c r="I366" s="37"/>
      <c r="J366" s="37">
        <v>620</v>
      </c>
      <c r="K366" s="272">
        <v>323</v>
      </c>
      <c r="L366" s="273" t="s">
        <v>7</v>
      </c>
      <c r="M366" s="422">
        <f aca="true" t="shared" si="149" ref="M366:S366">SUM(M367:M373)</f>
        <v>1192.116265180171</v>
      </c>
      <c r="N366" s="422">
        <f t="shared" si="149"/>
        <v>31189.85997743712</v>
      </c>
      <c r="O366" s="437">
        <f t="shared" si="149"/>
        <v>389862.63189329085</v>
      </c>
      <c r="P366" s="437">
        <f t="shared" si="149"/>
        <v>100189.85997743713</v>
      </c>
      <c r="Q366" s="437">
        <f t="shared" si="149"/>
        <v>31066.24</v>
      </c>
      <c r="R366" s="437">
        <f t="shared" si="149"/>
        <v>123134.15</v>
      </c>
      <c r="S366" s="437">
        <f t="shared" si="149"/>
        <v>111759.35</v>
      </c>
      <c r="T366" s="437">
        <f t="shared" si="147"/>
        <v>9374.869990814965</v>
      </c>
      <c r="U366" s="437">
        <f t="shared" si="148"/>
        <v>90.76227025565208</v>
      </c>
      <c r="V366" s="78"/>
      <c r="W366" s="78"/>
      <c r="X366" s="78"/>
      <c r="Y366" s="78"/>
      <c r="Z366" s="78"/>
      <c r="AA366" s="78"/>
      <c r="AB366" s="78"/>
    </row>
    <row r="367" spans="1:28" s="75" customFormat="1" ht="33" customHeight="1">
      <c r="A367" s="37" t="s">
        <v>582</v>
      </c>
      <c r="B367" s="37">
        <v>1</v>
      </c>
      <c r="C367" s="37"/>
      <c r="D367" s="37">
        <v>3</v>
      </c>
      <c r="E367" s="37">
        <v>4</v>
      </c>
      <c r="F367" s="37"/>
      <c r="G367" s="37"/>
      <c r="H367" s="37"/>
      <c r="I367" s="37"/>
      <c r="J367" s="37">
        <v>620</v>
      </c>
      <c r="K367" s="36">
        <v>3232</v>
      </c>
      <c r="L367" s="374" t="s">
        <v>116</v>
      </c>
      <c r="M367" s="428">
        <v>0</v>
      </c>
      <c r="N367" s="428">
        <f>10000/7.5345</f>
        <v>1327.2280841462605</v>
      </c>
      <c r="O367" s="428">
        <v>10000</v>
      </c>
      <c r="P367" s="428">
        <f>10000/7.5345</f>
        <v>1327.2280841462605</v>
      </c>
      <c r="Q367" s="428">
        <v>0</v>
      </c>
      <c r="R367" s="428">
        <v>1327.23</v>
      </c>
      <c r="S367" s="428"/>
      <c r="T367" s="437" t="e">
        <f t="shared" si="147"/>
        <v>#DIV/0!</v>
      </c>
      <c r="U367" s="437">
        <f t="shared" si="148"/>
        <v>0</v>
      </c>
      <c r="V367" s="78"/>
      <c r="W367" s="78"/>
      <c r="X367" s="78"/>
      <c r="Y367" s="78"/>
      <c r="Z367" s="78"/>
      <c r="AA367" s="78"/>
      <c r="AB367" s="78"/>
    </row>
    <row r="368" spans="1:28" s="75" customFormat="1" ht="25.5" customHeight="1">
      <c r="A368" s="37" t="s">
        <v>582</v>
      </c>
      <c r="B368" s="37">
        <v>1</v>
      </c>
      <c r="C368" s="37"/>
      <c r="D368" s="37">
        <v>3</v>
      </c>
      <c r="E368" s="37"/>
      <c r="F368" s="37">
        <v>5</v>
      </c>
      <c r="G368" s="37"/>
      <c r="H368" s="37"/>
      <c r="I368" s="37"/>
      <c r="J368" s="37">
        <v>620</v>
      </c>
      <c r="K368" s="36">
        <v>3232</v>
      </c>
      <c r="L368" s="330" t="s">
        <v>507</v>
      </c>
      <c r="M368" s="428">
        <f>2750/7.5345</f>
        <v>364.98772314022165</v>
      </c>
      <c r="N368" s="428">
        <f>225000/7.5345</f>
        <v>29862.63189329086</v>
      </c>
      <c r="O368" s="428">
        <f>225000/7.5345</f>
        <v>29862.63189329086</v>
      </c>
      <c r="P368" s="428">
        <f>225000/7.5345</f>
        <v>29862.63189329086</v>
      </c>
      <c r="Q368" s="428">
        <v>31066.24</v>
      </c>
      <c r="R368" s="428">
        <v>50186.92</v>
      </c>
      <c r="S368" s="428">
        <v>42501.58</v>
      </c>
      <c r="T368" s="437">
        <f t="shared" si="147"/>
        <v>11644.660164</v>
      </c>
      <c r="U368" s="437">
        <f t="shared" si="148"/>
        <v>84.68656773517881</v>
      </c>
      <c r="V368" s="78"/>
      <c r="W368" s="78"/>
      <c r="X368" s="78"/>
      <c r="Y368" s="78"/>
      <c r="Z368" s="78"/>
      <c r="AA368" s="78"/>
      <c r="AB368" s="78"/>
    </row>
    <row r="369" spans="1:28" s="75" customFormat="1" ht="26.25" customHeight="1">
      <c r="A369" s="37" t="s">
        <v>582</v>
      </c>
      <c r="B369" s="37">
        <v>1</v>
      </c>
      <c r="C369" s="37"/>
      <c r="D369" s="37"/>
      <c r="E369" s="37"/>
      <c r="F369" s="37">
        <v>5</v>
      </c>
      <c r="G369" s="37"/>
      <c r="H369" s="37"/>
      <c r="I369" s="37"/>
      <c r="J369" s="37">
        <v>620</v>
      </c>
      <c r="K369" s="36">
        <v>3232</v>
      </c>
      <c r="L369" s="351" t="s">
        <v>466</v>
      </c>
      <c r="M369" s="428">
        <f>6232/7.5345</f>
        <v>827.1285420399495</v>
      </c>
      <c r="N369" s="428">
        <v>0</v>
      </c>
      <c r="O369" s="428">
        <v>0</v>
      </c>
      <c r="P369" s="428">
        <v>0</v>
      </c>
      <c r="Q369" s="428">
        <v>0</v>
      </c>
      <c r="R369" s="428"/>
      <c r="S369" s="428"/>
      <c r="T369" s="437">
        <f t="shared" si="147"/>
        <v>0</v>
      </c>
      <c r="U369" s="437" t="e">
        <f t="shared" si="148"/>
        <v>#DIV/0!</v>
      </c>
      <c r="V369" s="78"/>
      <c r="W369" s="78"/>
      <c r="X369" s="78"/>
      <c r="Y369" s="78"/>
      <c r="Z369" s="78"/>
      <c r="AA369" s="78"/>
      <c r="AB369" s="78"/>
    </row>
    <row r="370" spans="1:28" s="75" customFormat="1" ht="30" customHeight="1">
      <c r="A370" s="37" t="s">
        <v>582</v>
      </c>
      <c r="B370" s="37">
        <v>1</v>
      </c>
      <c r="C370" s="37"/>
      <c r="D370" s="37"/>
      <c r="E370" s="37"/>
      <c r="F370" s="37">
        <v>5</v>
      </c>
      <c r="G370" s="37"/>
      <c r="H370" s="37"/>
      <c r="I370" s="37"/>
      <c r="J370" s="37">
        <v>620</v>
      </c>
      <c r="K370" s="36">
        <v>3232</v>
      </c>
      <c r="L370" s="330" t="s">
        <v>509</v>
      </c>
      <c r="M370" s="428">
        <v>0</v>
      </c>
      <c r="N370" s="428">
        <v>0</v>
      </c>
      <c r="O370" s="428">
        <v>50000</v>
      </c>
      <c r="P370" s="506">
        <v>69000</v>
      </c>
      <c r="Q370" s="428">
        <v>0</v>
      </c>
      <c r="R370" s="428">
        <v>71620</v>
      </c>
      <c r="S370" s="428">
        <v>69257.77</v>
      </c>
      <c r="T370" s="437" t="e">
        <f t="shared" si="147"/>
        <v>#DIV/0!</v>
      </c>
      <c r="U370" s="437">
        <f t="shared" si="148"/>
        <v>96.70171739737505</v>
      </c>
      <c r="V370" s="78"/>
      <c r="W370" s="78"/>
      <c r="X370" s="78"/>
      <c r="Y370" s="78"/>
      <c r="Z370" s="78"/>
      <c r="AA370" s="78"/>
      <c r="AB370" s="78"/>
    </row>
    <row r="371" spans="1:28" s="75" customFormat="1" ht="31.5" customHeight="1">
      <c r="A371" s="37" t="s">
        <v>582</v>
      </c>
      <c r="B371" s="37">
        <v>1</v>
      </c>
      <c r="C371" s="37"/>
      <c r="D371" s="37"/>
      <c r="E371" s="37"/>
      <c r="F371" s="37">
        <v>5</v>
      </c>
      <c r="G371" s="37"/>
      <c r="H371" s="37"/>
      <c r="I371" s="37"/>
      <c r="J371" s="37">
        <v>620</v>
      </c>
      <c r="K371" s="36">
        <v>3232</v>
      </c>
      <c r="L371" s="352" t="s">
        <v>510</v>
      </c>
      <c r="M371" s="428">
        <v>0</v>
      </c>
      <c r="N371" s="428">
        <v>0</v>
      </c>
      <c r="O371" s="428">
        <v>200000</v>
      </c>
      <c r="P371" s="428">
        <v>0</v>
      </c>
      <c r="Q371" s="428">
        <v>0</v>
      </c>
      <c r="R371" s="428"/>
      <c r="S371" s="428"/>
      <c r="T371" s="437" t="e">
        <f t="shared" si="147"/>
        <v>#DIV/0!</v>
      </c>
      <c r="U371" s="437" t="e">
        <f t="shared" si="148"/>
        <v>#DIV/0!</v>
      </c>
      <c r="V371" s="78"/>
      <c r="W371" s="78"/>
      <c r="X371" s="78"/>
      <c r="Y371" s="78"/>
      <c r="Z371" s="78"/>
      <c r="AA371" s="78"/>
      <c r="AB371" s="78"/>
    </row>
    <row r="372" spans="1:28" s="75" customFormat="1" ht="33" customHeight="1">
      <c r="A372" s="37" t="s">
        <v>582</v>
      </c>
      <c r="B372" s="37">
        <v>1</v>
      </c>
      <c r="C372" s="37"/>
      <c r="D372" s="37"/>
      <c r="E372" s="37"/>
      <c r="F372" s="37">
        <v>5</v>
      </c>
      <c r="G372" s="37"/>
      <c r="H372" s="37"/>
      <c r="I372" s="37"/>
      <c r="J372" s="37">
        <v>620</v>
      </c>
      <c r="K372" s="36">
        <v>3232</v>
      </c>
      <c r="L372" s="386" t="s">
        <v>617</v>
      </c>
      <c r="M372" s="428">
        <v>0</v>
      </c>
      <c r="N372" s="428">
        <v>0</v>
      </c>
      <c r="O372" s="428">
        <v>0</v>
      </c>
      <c r="P372" s="428">
        <v>0</v>
      </c>
      <c r="Q372" s="428">
        <v>0</v>
      </c>
      <c r="R372" s="428"/>
      <c r="S372" s="428"/>
      <c r="T372" s="437" t="e">
        <f t="shared" si="147"/>
        <v>#DIV/0!</v>
      </c>
      <c r="U372" s="437" t="e">
        <f t="shared" si="148"/>
        <v>#DIV/0!</v>
      </c>
      <c r="V372" s="78"/>
      <c r="W372" s="78"/>
      <c r="X372" s="78"/>
      <c r="Y372" s="78"/>
      <c r="Z372" s="78"/>
      <c r="AA372" s="78"/>
      <c r="AB372" s="78"/>
    </row>
    <row r="373" spans="1:28" s="75" customFormat="1" ht="24" customHeight="1">
      <c r="A373" s="37" t="s">
        <v>582</v>
      </c>
      <c r="B373" s="37">
        <v>1</v>
      </c>
      <c r="C373" s="37"/>
      <c r="D373" s="37"/>
      <c r="E373" s="37"/>
      <c r="F373" s="37">
        <v>5</v>
      </c>
      <c r="G373" s="37"/>
      <c r="H373" s="37"/>
      <c r="I373" s="37"/>
      <c r="J373" s="37">
        <v>620</v>
      </c>
      <c r="K373" s="36">
        <v>3232</v>
      </c>
      <c r="L373" s="352" t="s">
        <v>414</v>
      </c>
      <c r="M373" s="428">
        <v>0</v>
      </c>
      <c r="N373" s="428">
        <v>0</v>
      </c>
      <c r="O373" s="428">
        <v>100000</v>
      </c>
      <c r="P373" s="428">
        <v>0</v>
      </c>
      <c r="Q373" s="428">
        <v>0</v>
      </c>
      <c r="R373" s="428"/>
      <c r="S373" s="428"/>
      <c r="T373" s="437" t="e">
        <f t="shared" si="147"/>
        <v>#DIV/0!</v>
      </c>
      <c r="U373" s="437" t="e">
        <f t="shared" si="148"/>
        <v>#DIV/0!</v>
      </c>
      <c r="V373" s="78"/>
      <c r="W373" s="78"/>
      <c r="X373" s="78"/>
      <c r="Y373" s="78"/>
      <c r="Z373" s="78"/>
      <c r="AA373" s="78"/>
      <c r="AB373" s="78"/>
    </row>
    <row r="374" spans="1:28" s="94" customFormat="1" ht="23.25" customHeight="1">
      <c r="A374" s="37" t="s">
        <v>582</v>
      </c>
      <c r="B374" s="308">
        <v>1</v>
      </c>
      <c r="C374" s="308"/>
      <c r="D374" s="308">
        <v>3</v>
      </c>
      <c r="E374" s="308">
        <v>4</v>
      </c>
      <c r="F374" s="308">
        <v>5</v>
      </c>
      <c r="G374" s="308"/>
      <c r="H374" s="308"/>
      <c r="I374" s="308"/>
      <c r="J374" s="308">
        <v>620</v>
      </c>
      <c r="K374" s="280">
        <v>4</v>
      </c>
      <c r="L374" s="350" t="s">
        <v>1</v>
      </c>
      <c r="M374" s="405">
        <f aca="true" t="shared" si="150" ref="M374:S375">M375</f>
        <v>0</v>
      </c>
      <c r="N374" s="405">
        <f t="shared" si="150"/>
        <v>7963.368504877563</v>
      </c>
      <c r="O374" s="405">
        <f t="shared" si="150"/>
        <v>60000</v>
      </c>
      <c r="P374" s="405">
        <f t="shared" si="150"/>
        <v>16636.140420731303</v>
      </c>
      <c r="Q374" s="405">
        <f t="shared" si="150"/>
        <v>0</v>
      </c>
      <c r="R374" s="405">
        <f t="shared" si="150"/>
        <v>0</v>
      </c>
      <c r="S374" s="405">
        <f t="shared" si="150"/>
        <v>0</v>
      </c>
      <c r="T374" s="437" t="e">
        <f t="shared" si="147"/>
        <v>#DIV/0!</v>
      </c>
      <c r="U374" s="437" t="e">
        <f t="shared" si="148"/>
        <v>#DIV/0!</v>
      </c>
      <c r="V374" s="258"/>
      <c r="W374" s="258"/>
      <c r="X374" s="258"/>
      <c r="Y374" s="258"/>
      <c r="Z374" s="258"/>
      <c r="AA374" s="258"/>
      <c r="AB374" s="258"/>
    </row>
    <row r="375" spans="1:28" s="94" customFormat="1" ht="20.25" customHeight="1">
      <c r="A375" s="37" t="s">
        <v>582</v>
      </c>
      <c r="B375" s="308">
        <v>1</v>
      </c>
      <c r="C375" s="308"/>
      <c r="D375" s="308">
        <v>3</v>
      </c>
      <c r="E375" s="308">
        <v>4</v>
      </c>
      <c r="F375" s="308">
        <v>5</v>
      </c>
      <c r="G375" s="308"/>
      <c r="H375" s="308"/>
      <c r="I375" s="308"/>
      <c r="J375" s="308">
        <v>620</v>
      </c>
      <c r="K375" s="280">
        <v>42</v>
      </c>
      <c r="L375" s="350" t="s">
        <v>28</v>
      </c>
      <c r="M375" s="469">
        <f t="shared" si="150"/>
        <v>0</v>
      </c>
      <c r="N375" s="469">
        <f t="shared" si="150"/>
        <v>7963.368504877563</v>
      </c>
      <c r="O375" s="469">
        <f t="shared" si="150"/>
        <v>60000</v>
      </c>
      <c r="P375" s="469">
        <f t="shared" si="150"/>
        <v>16636.140420731303</v>
      </c>
      <c r="Q375" s="469">
        <f t="shared" si="150"/>
        <v>0</v>
      </c>
      <c r="R375" s="469">
        <f t="shared" si="150"/>
        <v>0</v>
      </c>
      <c r="S375" s="469">
        <f t="shared" si="150"/>
        <v>0</v>
      </c>
      <c r="T375" s="437" t="e">
        <f t="shared" si="147"/>
        <v>#DIV/0!</v>
      </c>
      <c r="U375" s="437" t="e">
        <f t="shared" si="148"/>
        <v>#DIV/0!</v>
      </c>
      <c r="V375" s="258"/>
      <c r="W375" s="258"/>
      <c r="X375" s="258"/>
      <c r="Y375" s="258"/>
      <c r="Z375" s="258"/>
      <c r="AA375" s="258"/>
      <c r="AB375" s="258"/>
    </row>
    <row r="376" spans="1:28" s="75" customFormat="1" ht="19.5" customHeight="1">
      <c r="A376" s="37" t="s">
        <v>582</v>
      </c>
      <c r="B376" s="37">
        <v>1</v>
      </c>
      <c r="C376" s="37"/>
      <c r="D376" s="37">
        <v>3</v>
      </c>
      <c r="E376" s="37">
        <v>4</v>
      </c>
      <c r="F376" s="37">
        <v>5</v>
      </c>
      <c r="G376" s="37"/>
      <c r="H376" s="37"/>
      <c r="I376" s="37"/>
      <c r="J376" s="37">
        <v>620</v>
      </c>
      <c r="K376" s="280">
        <v>422</v>
      </c>
      <c r="L376" s="353" t="s">
        <v>14</v>
      </c>
      <c r="M376" s="428">
        <f aca="true" t="shared" si="151" ref="M376:S376">M377+M378</f>
        <v>0</v>
      </c>
      <c r="N376" s="428">
        <f t="shared" si="151"/>
        <v>7963.368504877563</v>
      </c>
      <c r="O376" s="465">
        <f t="shared" si="151"/>
        <v>60000</v>
      </c>
      <c r="P376" s="465">
        <f t="shared" si="151"/>
        <v>16636.140420731303</v>
      </c>
      <c r="Q376" s="465">
        <f t="shared" si="151"/>
        <v>0</v>
      </c>
      <c r="R376" s="465">
        <f t="shared" si="151"/>
        <v>0</v>
      </c>
      <c r="S376" s="465">
        <f t="shared" si="151"/>
        <v>0</v>
      </c>
      <c r="T376" s="437" t="e">
        <f t="shared" si="147"/>
        <v>#DIV/0!</v>
      </c>
      <c r="U376" s="437" t="e">
        <f t="shared" si="148"/>
        <v>#DIV/0!</v>
      </c>
      <c r="V376" s="78"/>
      <c r="W376" s="78"/>
      <c r="X376" s="78"/>
      <c r="Y376" s="78"/>
      <c r="Z376" s="78"/>
      <c r="AA376" s="78"/>
      <c r="AB376" s="78"/>
    </row>
    <row r="377" spans="1:28" s="75" customFormat="1" ht="20.25" customHeight="1">
      <c r="A377" s="37" t="s">
        <v>582</v>
      </c>
      <c r="B377" s="37">
        <v>1</v>
      </c>
      <c r="C377" s="37"/>
      <c r="D377" s="37">
        <v>3</v>
      </c>
      <c r="E377" s="37">
        <v>4</v>
      </c>
      <c r="F377" s="37">
        <v>5</v>
      </c>
      <c r="G377" s="37"/>
      <c r="H377" s="37"/>
      <c r="I377" s="37"/>
      <c r="J377" s="37">
        <v>620</v>
      </c>
      <c r="K377" s="36">
        <v>42273</v>
      </c>
      <c r="L377" s="352" t="s">
        <v>511</v>
      </c>
      <c r="M377" s="405">
        <v>0</v>
      </c>
      <c r="N377" s="405">
        <f>10000/7.5345</f>
        <v>1327.2280841462605</v>
      </c>
      <c r="O377" s="405">
        <v>10000</v>
      </c>
      <c r="P377" s="405">
        <v>10000</v>
      </c>
      <c r="Q377" s="405">
        <v>0</v>
      </c>
      <c r="R377" s="405">
        <v>0</v>
      </c>
      <c r="S377" s="405"/>
      <c r="T377" s="437" t="e">
        <f t="shared" si="147"/>
        <v>#DIV/0!</v>
      </c>
      <c r="U377" s="437" t="e">
        <f t="shared" si="148"/>
        <v>#DIV/0!</v>
      </c>
      <c r="V377" s="78"/>
      <c r="W377" s="78"/>
      <c r="X377" s="78"/>
      <c r="Y377" s="78"/>
      <c r="Z377" s="78"/>
      <c r="AA377" s="78"/>
      <c r="AB377" s="78"/>
    </row>
    <row r="378" spans="1:28" s="75" customFormat="1" ht="22.5" customHeight="1">
      <c r="A378" s="37" t="s">
        <v>582</v>
      </c>
      <c r="B378" s="37">
        <v>1</v>
      </c>
      <c r="C378" s="37"/>
      <c r="D378" s="37">
        <v>3</v>
      </c>
      <c r="E378" s="37">
        <v>4</v>
      </c>
      <c r="F378" s="37">
        <v>5</v>
      </c>
      <c r="G378" s="37"/>
      <c r="H378" s="37"/>
      <c r="I378" s="37"/>
      <c r="J378" s="37">
        <v>620</v>
      </c>
      <c r="K378" s="232">
        <v>42273</v>
      </c>
      <c r="L378" s="387" t="s">
        <v>475</v>
      </c>
      <c r="M378" s="470">
        <v>0</v>
      </c>
      <c r="N378" s="470">
        <f>50000/7.5345</f>
        <v>6636.140420731303</v>
      </c>
      <c r="O378" s="470">
        <v>50000</v>
      </c>
      <c r="P378" s="470">
        <f>50000/7.5345</f>
        <v>6636.140420731303</v>
      </c>
      <c r="Q378" s="470">
        <v>0</v>
      </c>
      <c r="R378" s="470">
        <v>0</v>
      </c>
      <c r="S378" s="470"/>
      <c r="T378" s="437" t="e">
        <f t="shared" si="147"/>
        <v>#DIV/0!</v>
      </c>
      <c r="U378" s="437" t="e">
        <f t="shared" si="148"/>
        <v>#DIV/0!</v>
      </c>
      <c r="V378" s="78"/>
      <c r="W378" s="78"/>
      <c r="X378" s="78"/>
      <c r="Y378" s="78"/>
      <c r="Z378" s="78"/>
      <c r="AA378" s="78"/>
      <c r="AB378" s="78"/>
    </row>
    <row r="379" spans="1:36" s="128" customFormat="1" ht="15.75">
      <c r="A379" s="125"/>
      <c r="B379" s="125"/>
      <c r="C379" s="125"/>
      <c r="D379" s="125"/>
      <c r="E379" s="125"/>
      <c r="F379" s="125"/>
      <c r="G379" s="125"/>
      <c r="H379" s="125"/>
      <c r="I379" s="125"/>
      <c r="J379" s="125"/>
      <c r="K379" s="126"/>
      <c r="L379" s="127" t="s">
        <v>86</v>
      </c>
      <c r="M379" s="421">
        <f aca="true" t="shared" si="152" ref="M379:S379">M364+M374</f>
        <v>1192.116265180171</v>
      </c>
      <c r="N379" s="421">
        <f t="shared" si="152"/>
        <v>39153.228482314684</v>
      </c>
      <c r="O379" s="421">
        <f t="shared" si="152"/>
        <v>449862.63189329085</v>
      </c>
      <c r="P379" s="421">
        <f t="shared" si="152"/>
        <v>116826.00039816843</v>
      </c>
      <c r="Q379" s="421">
        <f t="shared" si="152"/>
        <v>31066.24</v>
      </c>
      <c r="R379" s="421">
        <f t="shared" si="152"/>
        <v>123134.15</v>
      </c>
      <c r="S379" s="421">
        <f t="shared" si="152"/>
        <v>111759.35</v>
      </c>
      <c r="T379" s="421">
        <f t="shared" si="147"/>
        <v>9374.869990814965</v>
      </c>
      <c r="U379" s="421">
        <f t="shared" si="148"/>
        <v>90.76227025565208</v>
      </c>
      <c r="V379" s="78"/>
      <c r="W379" s="78"/>
      <c r="X379" s="78"/>
      <c r="Y379" s="78"/>
      <c r="Z379" s="78"/>
      <c r="AA379" s="78"/>
      <c r="AB379" s="78"/>
      <c r="AC379" s="75"/>
      <c r="AD379" s="75"/>
      <c r="AE379" s="75"/>
      <c r="AF379" s="75"/>
      <c r="AG379" s="75"/>
      <c r="AH379" s="75"/>
      <c r="AI379" s="75"/>
      <c r="AJ379" s="75"/>
    </row>
    <row r="380" spans="1:36" s="46" customFormat="1" ht="15.75">
      <c r="A380" s="19"/>
      <c r="B380" s="19"/>
      <c r="C380" s="19"/>
      <c r="D380" s="19"/>
      <c r="E380" s="19"/>
      <c r="F380" s="19"/>
      <c r="G380" s="19"/>
      <c r="H380" s="19"/>
      <c r="I380" s="19"/>
      <c r="J380" s="19"/>
      <c r="K380" s="13"/>
      <c r="L380" s="53"/>
      <c r="M380" s="429"/>
      <c r="N380" s="429"/>
      <c r="O380" s="429"/>
      <c r="P380" s="429"/>
      <c r="Q380" s="429"/>
      <c r="R380" s="429"/>
      <c r="S380" s="429"/>
      <c r="T380" s="429"/>
      <c r="U380" s="429"/>
      <c r="V380" s="78"/>
      <c r="W380" s="78"/>
      <c r="X380" s="78"/>
      <c r="Y380" s="78"/>
      <c r="Z380" s="78"/>
      <c r="AA380" s="78"/>
      <c r="AB380" s="78"/>
      <c r="AC380" s="78"/>
      <c r="AD380" s="78"/>
      <c r="AE380" s="78"/>
      <c r="AF380" s="78"/>
      <c r="AG380" s="78"/>
      <c r="AH380" s="78"/>
      <c r="AI380" s="78"/>
      <c r="AJ380" s="78"/>
    </row>
    <row r="381" spans="1:36" s="212" customFormat="1" ht="32.25" customHeight="1">
      <c r="A381" s="150" t="s">
        <v>583</v>
      </c>
      <c r="B381" s="79"/>
      <c r="C381" s="79"/>
      <c r="D381" s="79"/>
      <c r="E381" s="79"/>
      <c r="F381" s="79"/>
      <c r="G381" s="79"/>
      <c r="H381" s="79"/>
      <c r="I381" s="79"/>
      <c r="J381" s="79"/>
      <c r="K381" s="41" t="s">
        <v>25</v>
      </c>
      <c r="L381" s="359" t="s">
        <v>512</v>
      </c>
      <c r="M381" s="430"/>
      <c r="N381" s="430"/>
      <c r="O381" s="430"/>
      <c r="P381" s="430"/>
      <c r="Q381" s="430"/>
      <c r="R381" s="430"/>
      <c r="S381" s="430"/>
      <c r="T381" s="430"/>
      <c r="U381" s="430"/>
      <c r="V381" s="78"/>
      <c r="W381" s="78"/>
      <c r="X381" s="78"/>
      <c r="Y381" s="78"/>
      <c r="Z381" s="78"/>
      <c r="AA381" s="78"/>
      <c r="AB381" s="78"/>
      <c r="AC381" s="78"/>
      <c r="AD381" s="78"/>
      <c r="AE381" s="78"/>
      <c r="AF381" s="78"/>
      <c r="AG381" s="78"/>
      <c r="AH381" s="78"/>
      <c r="AI381" s="78"/>
      <c r="AJ381" s="78"/>
    </row>
    <row r="382" spans="1:28" s="75" customFormat="1" ht="15.75">
      <c r="A382" s="37" t="s">
        <v>584</v>
      </c>
      <c r="B382" s="37">
        <v>1</v>
      </c>
      <c r="C382" s="37"/>
      <c r="D382" s="37">
        <v>3</v>
      </c>
      <c r="E382" s="37">
        <v>4</v>
      </c>
      <c r="F382" s="37"/>
      <c r="G382" s="37"/>
      <c r="H382" s="37"/>
      <c r="I382" s="37"/>
      <c r="J382" s="37">
        <v>660</v>
      </c>
      <c r="K382" s="272">
        <v>3</v>
      </c>
      <c r="L382" s="273" t="s">
        <v>0</v>
      </c>
      <c r="M382" s="422">
        <f aca="true" t="shared" si="153" ref="M382:S382">M383+M393</f>
        <v>195877.23140221648</v>
      </c>
      <c r="N382" s="422">
        <f t="shared" si="153"/>
        <v>177848.56327559892</v>
      </c>
      <c r="O382" s="437">
        <f t="shared" si="153"/>
        <v>1340000</v>
      </c>
      <c r="P382" s="437">
        <f t="shared" si="153"/>
        <v>177848.56327559892</v>
      </c>
      <c r="Q382" s="437">
        <f t="shared" si="153"/>
        <v>79461.2</v>
      </c>
      <c r="R382" s="437">
        <f t="shared" si="153"/>
        <v>172437.5</v>
      </c>
      <c r="S382" s="437">
        <f t="shared" si="153"/>
        <v>187143.14</v>
      </c>
      <c r="T382" s="437">
        <f>S382/M382*100</f>
        <v>95.54103795541107</v>
      </c>
      <c r="U382" s="437">
        <f>S382/R382*100</f>
        <v>108.52809858644437</v>
      </c>
      <c r="V382" s="78"/>
      <c r="W382" s="78"/>
      <c r="X382" s="78"/>
      <c r="Y382" s="78"/>
      <c r="Z382" s="78"/>
      <c r="AA382" s="78"/>
      <c r="AB382" s="78"/>
    </row>
    <row r="383" spans="1:28" s="75" customFormat="1" ht="28.5" customHeight="1">
      <c r="A383" s="37" t="s">
        <v>584</v>
      </c>
      <c r="B383" s="37">
        <v>1</v>
      </c>
      <c r="C383" s="37"/>
      <c r="D383" s="37">
        <v>3</v>
      </c>
      <c r="E383" s="37">
        <v>4</v>
      </c>
      <c r="F383" s="37"/>
      <c r="G383" s="37"/>
      <c r="H383" s="37"/>
      <c r="I383" s="37"/>
      <c r="J383" s="37">
        <v>660</v>
      </c>
      <c r="K383" s="272">
        <v>32</v>
      </c>
      <c r="L383" s="273" t="s">
        <v>5</v>
      </c>
      <c r="M383" s="422">
        <f aca="true" t="shared" si="154" ref="M383:S383">M386+M384</f>
        <v>195877.23140221648</v>
      </c>
      <c r="N383" s="422">
        <f t="shared" si="154"/>
        <v>177848.56327559892</v>
      </c>
      <c r="O383" s="437">
        <f t="shared" si="154"/>
        <v>1340000</v>
      </c>
      <c r="P383" s="437">
        <f t="shared" si="154"/>
        <v>177848.56327559892</v>
      </c>
      <c r="Q383" s="437">
        <f t="shared" si="154"/>
        <v>79461.2</v>
      </c>
      <c r="R383" s="437">
        <f t="shared" si="154"/>
        <v>172437.5</v>
      </c>
      <c r="S383" s="437">
        <f t="shared" si="154"/>
        <v>187143.14</v>
      </c>
      <c r="T383" s="437">
        <f aca="true" t="shared" si="155" ref="T383:T406">S383/M383*100</f>
        <v>95.54103795541107</v>
      </c>
      <c r="U383" s="437">
        <f aca="true" t="shared" si="156" ref="U383:U406">S383/R383*100</f>
        <v>108.52809858644437</v>
      </c>
      <c r="V383" s="78"/>
      <c r="W383" s="78"/>
      <c r="X383" s="78"/>
      <c r="Y383" s="78"/>
      <c r="Z383" s="78"/>
      <c r="AA383" s="78"/>
      <c r="AB383" s="78"/>
    </row>
    <row r="384" spans="1:28" s="75" customFormat="1" ht="26.25" customHeight="1">
      <c r="A384" s="37" t="s">
        <v>584</v>
      </c>
      <c r="B384" s="37">
        <v>1</v>
      </c>
      <c r="C384" s="37"/>
      <c r="D384" s="37">
        <v>3</v>
      </c>
      <c r="E384" s="37">
        <v>4</v>
      </c>
      <c r="F384" s="37"/>
      <c r="G384" s="37"/>
      <c r="H384" s="37"/>
      <c r="I384" s="37"/>
      <c r="J384" s="37">
        <v>660</v>
      </c>
      <c r="K384" s="272">
        <v>322</v>
      </c>
      <c r="L384" s="273" t="s">
        <v>26</v>
      </c>
      <c r="M384" s="422">
        <f aca="true" t="shared" si="157" ref="M384:S384">M385</f>
        <v>0</v>
      </c>
      <c r="N384" s="422">
        <f t="shared" si="157"/>
        <v>0</v>
      </c>
      <c r="O384" s="437">
        <f t="shared" si="157"/>
        <v>0</v>
      </c>
      <c r="P384" s="437">
        <f t="shared" si="157"/>
        <v>0</v>
      </c>
      <c r="Q384" s="437">
        <f t="shared" si="157"/>
        <v>0</v>
      </c>
      <c r="R384" s="437">
        <f t="shared" si="157"/>
        <v>0</v>
      </c>
      <c r="S384" s="437">
        <f t="shared" si="157"/>
        <v>0</v>
      </c>
      <c r="T384" s="437" t="e">
        <f t="shared" si="155"/>
        <v>#DIV/0!</v>
      </c>
      <c r="U384" s="437" t="e">
        <f t="shared" si="156"/>
        <v>#DIV/0!</v>
      </c>
      <c r="V384" s="78"/>
      <c r="W384" s="78"/>
      <c r="X384" s="78"/>
      <c r="Y384" s="78"/>
      <c r="Z384" s="78"/>
      <c r="AA384" s="78"/>
      <c r="AB384" s="78"/>
    </row>
    <row r="385" spans="1:28" s="75" customFormat="1" ht="24" customHeight="1">
      <c r="A385" s="37" t="s">
        <v>584</v>
      </c>
      <c r="B385" s="37">
        <v>1</v>
      </c>
      <c r="C385" s="37"/>
      <c r="D385" s="37">
        <v>3</v>
      </c>
      <c r="E385" s="37">
        <v>4</v>
      </c>
      <c r="F385" s="37"/>
      <c r="G385" s="37"/>
      <c r="H385" s="37"/>
      <c r="I385" s="37"/>
      <c r="J385" s="37">
        <v>660</v>
      </c>
      <c r="K385" s="42">
        <v>3225</v>
      </c>
      <c r="L385" s="333" t="s">
        <v>307</v>
      </c>
      <c r="M385" s="422"/>
      <c r="N385" s="422">
        <v>0</v>
      </c>
      <c r="O385" s="422"/>
      <c r="P385" s="422"/>
      <c r="Q385" s="422"/>
      <c r="R385" s="422"/>
      <c r="S385" s="422"/>
      <c r="T385" s="437" t="e">
        <f t="shared" si="155"/>
        <v>#DIV/0!</v>
      </c>
      <c r="U385" s="437" t="e">
        <f t="shared" si="156"/>
        <v>#DIV/0!</v>
      </c>
      <c r="V385" s="78"/>
      <c r="W385" s="78"/>
      <c r="X385" s="78"/>
      <c r="Y385" s="78"/>
      <c r="Z385" s="78"/>
      <c r="AA385" s="78"/>
      <c r="AB385" s="78"/>
    </row>
    <row r="386" spans="1:28" s="75" customFormat="1" ht="24.75" customHeight="1">
      <c r="A386" s="37" t="s">
        <v>584</v>
      </c>
      <c r="B386" s="37">
        <v>1</v>
      </c>
      <c r="C386" s="37"/>
      <c r="D386" s="37">
        <v>3</v>
      </c>
      <c r="E386" s="37">
        <v>4</v>
      </c>
      <c r="F386" s="37"/>
      <c r="G386" s="37"/>
      <c r="H386" s="37"/>
      <c r="I386" s="37"/>
      <c r="J386" s="37">
        <v>660</v>
      </c>
      <c r="K386" s="272">
        <v>323</v>
      </c>
      <c r="L386" s="273" t="s">
        <v>7</v>
      </c>
      <c r="M386" s="422">
        <f>SUM(M387:M392)</f>
        <v>195877.23140221648</v>
      </c>
      <c r="N386" s="422">
        <f>N387+N388+N389+N391+N392</f>
        <v>177848.56327559892</v>
      </c>
      <c r="O386" s="422">
        <f>SUM(O387:O392)</f>
        <v>1340000</v>
      </c>
      <c r="P386" s="422">
        <f>SUM(P387:P392)</f>
        <v>177848.56327559892</v>
      </c>
      <c r="Q386" s="422">
        <f>SUM(Q387:Q392)</f>
        <v>79461.2</v>
      </c>
      <c r="R386" s="422">
        <f>SUM(R387:R392)</f>
        <v>172437.5</v>
      </c>
      <c r="S386" s="422">
        <f>SUM(S387:S392)</f>
        <v>187143.14</v>
      </c>
      <c r="T386" s="437">
        <f t="shared" si="155"/>
        <v>95.54103795541107</v>
      </c>
      <c r="U386" s="437">
        <f t="shared" si="156"/>
        <v>108.52809858644437</v>
      </c>
      <c r="V386" s="78"/>
      <c r="W386" s="78"/>
      <c r="X386" s="78"/>
      <c r="Y386" s="78"/>
      <c r="Z386" s="78"/>
      <c r="AA386" s="78"/>
      <c r="AB386" s="78"/>
    </row>
    <row r="387" spans="1:28" s="75" customFormat="1" ht="49.5" customHeight="1">
      <c r="A387" s="37" t="s">
        <v>584</v>
      </c>
      <c r="B387" s="37">
        <v>1</v>
      </c>
      <c r="C387" s="37"/>
      <c r="D387" s="37">
        <v>3</v>
      </c>
      <c r="E387" s="37">
        <v>4</v>
      </c>
      <c r="F387" s="37"/>
      <c r="G387" s="37"/>
      <c r="H387" s="37"/>
      <c r="I387" s="37"/>
      <c r="J387" s="37">
        <v>660</v>
      </c>
      <c r="K387" s="42">
        <v>3232</v>
      </c>
      <c r="L387" s="332" t="s">
        <v>465</v>
      </c>
      <c r="M387" s="422">
        <f>37383/7.5345</f>
        <v>4961.576746963966</v>
      </c>
      <c r="N387" s="422">
        <f>40000/7.5345</f>
        <v>5308.912336585042</v>
      </c>
      <c r="O387" s="422">
        <v>40000</v>
      </c>
      <c r="P387" s="422">
        <f>40000/7.5345</f>
        <v>5308.912336585042</v>
      </c>
      <c r="Q387" s="422">
        <v>0</v>
      </c>
      <c r="R387" s="422"/>
      <c r="S387" s="422"/>
      <c r="T387" s="437">
        <f t="shared" si="155"/>
        <v>0</v>
      </c>
      <c r="U387" s="437" t="e">
        <f t="shared" si="156"/>
        <v>#DIV/0!</v>
      </c>
      <c r="V387" s="78"/>
      <c r="W387" s="78"/>
      <c r="X387" s="78"/>
      <c r="Y387" s="78"/>
      <c r="Z387" s="78"/>
      <c r="AA387" s="78"/>
      <c r="AB387" s="78"/>
    </row>
    <row r="388" spans="1:28" s="75" customFormat="1" ht="24.75" customHeight="1">
      <c r="A388" s="37" t="s">
        <v>584</v>
      </c>
      <c r="B388" s="37">
        <v>1</v>
      </c>
      <c r="C388" s="37"/>
      <c r="D388" s="37">
        <v>3</v>
      </c>
      <c r="E388" s="37">
        <v>4</v>
      </c>
      <c r="F388" s="37"/>
      <c r="G388" s="37"/>
      <c r="H388" s="37"/>
      <c r="I388" s="37"/>
      <c r="J388" s="37">
        <v>660</v>
      </c>
      <c r="K388" s="36">
        <v>3232</v>
      </c>
      <c r="L388" s="330" t="s">
        <v>306</v>
      </c>
      <c r="M388" s="428">
        <f>36875/7.5345</f>
        <v>4894.1535602893355</v>
      </c>
      <c r="N388" s="428">
        <f>40000/7.5345</f>
        <v>5308.912336585042</v>
      </c>
      <c r="O388" s="428">
        <v>40000</v>
      </c>
      <c r="P388" s="428">
        <f>40000/7.5345</f>
        <v>5308.912336585042</v>
      </c>
      <c r="Q388" s="428">
        <v>0</v>
      </c>
      <c r="R388" s="428"/>
      <c r="S388" s="428"/>
      <c r="T388" s="437">
        <f t="shared" si="155"/>
        <v>0</v>
      </c>
      <c r="U388" s="437" t="e">
        <f t="shared" si="156"/>
        <v>#DIV/0!</v>
      </c>
      <c r="V388" s="78"/>
      <c r="W388" s="78"/>
      <c r="X388" s="78"/>
      <c r="Y388" s="78"/>
      <c r="Z388" s="78"/>
      <c r="AA388" s="78"/>
      <c r="AB388" s="78"/>
    </row>
    <row r="389" spans="1:28" s="75" customFormat="1" ht="44.25" customHeight="1">
      <c r="A389" s="37" t="s">
        <v>584</v>
      </c>
      <c r="B389" s="37">
        <v>1</v>
      </c>
      <c r="C389" s="37"/>
      <c r="D389" s="37">
        <v>3</v>
      </c>
      <c r="E389" s="37"/>
      <c r="F389" s="37"/>
      <c r="G389" s="37"/>
      <c r="H389" s="37"/>
      <c r="I389" s="37"/>
      <c r="J389" s="37">
        <v>660</v>
      </c>
      <c r="K389" s="36">
        <v>3232</v>
      </c>
      <c r="L389" s="330" t="s">
        <v>464</v>
      </c>
      <c r="M389" s="428">
        <f>1401579/7.5345</f>
        <v>186021.50109496317</v>
      </c>
      <c r="N389" s="428">
        <f>1200000/7.5345</f>
        <v>159267.37009755126</v>
      </c>
      <c r="O389" s="428">
        <v>1200000</v>
      </c>
      <c r="P389" s="428">
        <f>1200000/7.5345</f>
        <v>159267.37009755126</v>
      </c>
      <c r="Q389" s="428">
        <v>79023.7</v>
      </c>
      <c r="R389" s="428">
        <v>172000</v>
      </c>
      <c r="S389" s="428">
        <v>186705.64</v>
      </c>
      <c r="T389" s="437">
        <f t="shared" si="155"/>
        <v>100.36777410192363</v>
      </c>
      <c r="U389" s="437">
        <f t="shared" si="156"/>
        <v>108.54979069767442</v>
      </c>
      <c r="V389" s="78"/>
      <c r="W389" s="78"/>
      <c r="X389" s="78"/>
      <c r="Y389" s="78"/>
      <c r="Z389" s="78"/>
      <c r="AA389" s="78"/>
      <c r="AB389" s="78"/>
    </row>
    <row r="390" spans="1:28" s="75" customFormat="1" ht="21" customHeight="1">
      <c r="A390" s="37" t="s">
        <v>584</v>
      </c>
      <c r="B390" s="37">
        <v>1</v>
      </c>
      <c r="C390" s="37"/>
      <c r="D390" s="37">
        <v>3</v>
      </c>
      <c r="E390" s="37"/>
      <c r="F390" s="37"/>
      <c r="G390" s="37"/>
      <c r="H390" s="37"/>
      <c r="I390" s="37"/>
      <c r="J390" s="37">
        <v>660</v>
      </c>
      <c r="K390" s="36">
        <v>3232</v>
      </c>
      <c r="L390" s="88" t="s">
        <v>424</v>
      </c>
      <c r="M390" s="428"/>
      <c r="N390" s="428"/>
      <c r="O390" s="428"/>
      <c r="P390" s="428"/>
      <c r="Q390" s="428"/>
      <c r="R390" s="428"/>
      <c r="S390" s="428"/>
      <c r="T390" s="437" t="e">
        <f t="shared" si="155"/>
        <v>#DIV/0!</v>
      </c>
      <c r="U390" s="437" t="e">
        <f t="shared" si="156"/>
        <v>#DIV/0!</v>
      </c>
      <c r="V390" s="78"/>
      <c r="W390" s="78"/>
      <c r="X390" s="78"/>
      <c r="Y390" s="78"/>
      <c r="Z390" s="78"/>
      <c r="AA390" s="78"/>
      <c r="AB390" s="78"/>
    </row>
    <row r="391" spans="1:28" s="75" customFormat="1" ht="20.25" customHeight="1">
      <c r="A391" s="37" t="s">
        <v>584</v>
      </c>
      <c r="B391" s="37">
        <v>1</v>
      </c>
      <c r="C391" s="37"/>
      <c r="D391" s="37">
        <v>3</v>
      </c>
      <c r="E391" s="37"/>
      <c r="F391" s="37"/>
      <c r="G391" s="37"/>
      <c r="H391" s="37"/>
      <c r="I391" s="37"/>
      <c r="J391" s="37">
        <v>660</v>
      </c>
      <c r="K391" s="36">
        <v>3232</v>
      </c>
      <c r="L391" s="330" t="s">
        <v>331</v>
      </c>
      <c r="M391" s="428">
        <v>0</v>
      </c>
      <c r="N391" s="428">
        <f>40000/7.5345</f>
        <v>5308.912336585042</v>
      </c>
      <c r="O391" s="428">
        <v>40000</v>
      </c>
      <c r="P391" s="428">
        <f>40000/7.5345</f>
        <v>5308.912336585042</v>
      </c>
      <c r="Q391" s="428">
        <v>437.5</v>
      </c>
      <c r="R391" s="428">
        <v>437.5</v>
      </c>
      <c r="S391" s="428">
        <v>437.5</v>
      </c>
      <c r="T391" s="437" t="e">
        <f t="shared" si="155"/>
        <v>#DIV/0!</v>
      </c>
      <c r="U391" s="437">
        <f t="shared" si="156"/>
        <v>100</v>
      </c>
      <c r="V391" s="78"/>
      <c r="W391" s="78"/>
      <c r="X391" s="78"/>
      <c r="Y391" s="78"/>
      <c r="Z391" s="78"/>
      <c r="AA391" s="78"/>
      <c r="AB391" s="78"/>
    </row>
    <row r="392" spans="1:28" s="75" customFormat="1" ht="30" customHeight="1">
      <c r="A392" s="37" t="s">
        <v>584</v>
      </c>
      <c r="B392" s="37">
        <v>1</v>
      </c>
      <c r="C392" s="37"/>
      <c r="D392" s="37">
        <v>3</v>
      </c>
      <c r="E392" s="37"/>
      <c r="F392" s="37"/>
      <c r="G392" s="37"/>
      <c r="H392" s="37"/>
      <c r="I392" s="37"/>
      <c r="J392" s="37">
        <v>660</v>
      </c>
      <c r="K392" s="36">
        <v>3232</v>
      </c>
      <c r="L392" s="330" t="s">
        <v>499</v>
      </c>
      <c r="M392" s="428">
        <v>0</v>
      </c>
      <c r="N392" s="428">
        <f>20000/7.5345</f>
        <v>2654.456168292521</v>
      </c>
      <c r="O392" s="428">
        <v>20000</v>
      </c>
      <c r="P392" s="428">
        <f>20000/7.5345</f>
        <v>2654.456168292521</v>
      </c>
      <c r="Q392" s="428">
        <v>0</v>
      </c>
      <c r="R392" s="428">
        <v>0</v>
      </c>
      <c r="S392" s="428"/>
      <c r="T392" s="437" t="e">
        <f t="shared" si="155"/>
        <v>#DIV/0!</v>
      </c>
      <c r="U392" s="437" t="e">
        <f t="shared" si="156"/>
        <v>#DIV/0!</v>
      </c>
      <c r="V392" s="78"/>
      <c r="W392" s="78"/>
      <c r="X392" s="78"/>
      <c r="Y392" s="78"/>
      <c r="Z392" s="78"/>
      <c r="AA392" s="78"/>
      <c r="AB392" s="78"/>
    </row>
    <row r="393" spans="1:28" s="75" customFormat="1" ht="20.25" customHeight="1">
      <c r="A393" s="37" t="s">
        <v>584</v>
      </c>
      <c r="B393" s="37">
        <v>1</v>
      </c>
      <c r="C393" s="37"/>
      <c r="D393" s="37">
        <v>3</v>
      </c>
      <c r="E393" s="37"/>
      <c r="F393" s="37"/>
      <c r="G393" s="37"/>
      <c r="H393" s="37"/>
      <c r="I393" s="37"/>
      <c r="J393" s="37">
        <v>660</v>
      </c>
      <c r="K393" s="280">
        <v>35</v>
      </c>
      <c r="L393" s="328" t="s">
        <v>10</v>
      </c>
      <c r="M393" s="428">
        <f aca="true" t="shared" si="158" ref="M393:S394">M394</f>
        <v>0</v>
      </c>
      <c r="N393" s="428">
        <f t="shared" si="158"/>
        <v>0</v>
      </c>
      <c r="O393" s="465">
        <f t="shared" si="158"/>
        <v>0</v>
      </c>
      <c r="P393" s="465">
        <f t="shared" si="158"/>
        <v>0</v>
      </c>
      <c r="Q393" s="465">
        <f t="shared" si="158"/>
        <v>0</v>
      </c>
      <c r="R393" s="465">
        <f t="shared" si="158"/>
        <v>0</v>
      </c>
      <c r="S393" s="465">
        <f t="shared" si="158"/>
        <v>0</v>
      </c>
      <c r="T393" s="437" t="e">
        <f t="shared" si="155"/>
        <v>#DIV/0!</v>
      </c>
      <c r="U393" s="437" t="e">
        <f t="shared" si="156"/>
        <v>#DIV/0!</v>
      </c>
      <c r="V393" s="78"/>
      <c r="W393" s="78"/>
      <c r="X393" s="78"/>
      <c r="Y393" s="78"/>
      <c r="Z393" s="78"/>
      <c r="AA393" s="78"/>
      <c r="AB393" s="78"/>
    </row>
    <row r="394" spans="1:28" s="75" customFormat="1" ht="33.75" customHeight="1">
      <c r="A394" s="37" t="s">
        <v>584</v>
      </c>
      <c r="B394" s="37">
        <v>1</v>
      </c>
      <c r="C394" s="37"/>
      <c r="D394" s="37">
        <v>3</v>
      </c>
      <c r="E394" s="37"/>
      <c r="F394" s="37"/>
      <c r="G394" s="37"/>
      <c r="H394" s="37"/>
      <c r="I394" s="37"/>
      <c r="J394" s="37">
        <v>660</v>
      </c>
      <c r="K394" s="280">
        <v>351</v>
      </c>
      <c r="L394" s="384" t="s">
        <v>454</v>
      </c>
      <c r="M394" s="428">
        <f t="shared" si="158"/>
        <v>0</v>
      </c>
      <c r="N394" s="428">
        <f t="shared" si="158"/>
        <v>0</v>
      </c>
      <c r="O394" s="465">
        <f t="shared" si="158"/>
        <v>0</v>
      </c>
      <c r="P394" s="465">
        <f t="shared" si="158"/>
        <v>0</v>
      </c>
      <c r="Q394" s="465">
        <f t="shared" si="158"/>
        <v>0</v>
      </c>
      <c r="R394" s="465">
        <f t="shared" si="158"/>
        <v>0</v>
      </c>
      <c r="S394" s="465">
        <f t="shared" si="158"/>
        <v>0</v>
      </c>
      <c r="T394" s="437" t="e">
        <f t="shared" si="155"/>
        <v>#DIV/0!</v>
      </c>
      <c r="U394" s="437" t="e">
        <f t="shared" si="156"/>
        <v>#DIV/0!</v>
      </c>
      <c r="V394" s="78"/>
      <c r="W394" s="78"/>
      <c r="X394" s="78"/>
      <c r="Y394" s="78"/>
      <c r="Z394" s="78"/>
      <c r="AA394" s="78"/>
      <c r="AB394" s="78"/>
    </row>
    <row r="395" spans="1:28" s="75" customFormat="1" ht="31.5" customHeight="1">
      <c r="A395" s="37" t="s">
        <v>584</v>
      </c>
      <c r="B395" s="37">
        <v>1</v>
      </c>
      <c r="C395" s="37"/>
      <c r="D395" s="37">
        <v>3</v>
      </c>
      <c r="E395" s="37"/>
      <c r="F395" s="37"/>
      <c r="G395" s="37"/>
      <c r="H395" s="37"/>
      <c r="I395" s="37"/>
      <c r="J395" s="37">
        <v>660</v>
      </c>
      <c r="K395" s="36">
        <v>35111</v>
      </c>
      <c r="L395" s="346" t="s">
        <v>456</v>
      </c>
      <c r="M395" s="428">
        <v>0</v>
      </c>
      <c r="N395" s="428">
        <v>0</v>
      </c>
      <c r="O395" s="428">
        <v>0</v>
      </c>
      <c r="P395" s="428">
        <v>0</v>
      </c>
      <c r="Q395" s="428">
        <v>0</v>
      </c>
      <c r="R395" s="428"/>
      <c r="S395" s="428"/>
      <c r="T395" s="437" t="e">
        <f t="shared" si="155"/>
        <v>#DIV/0!</v>
      </c>
      <c r="U395" s="437" t="e">
        <f t="shared" si="156"/>
        <v>#DIV/0!</v>
      </c>
      <c r="V395" s="78"/>
      <c r="W395" s="78"/>
      <c r="X395" s="78"/>
      <c r="Y395" s="78"/>
      <c r="Z395" s="78"/>
      <c r="AA395" s="78"/>
      <c r="AB395" s="78"/>
    </row>
    <row r="396" spans="1:28" s="75" customFormat="1" ht="24" customHeight="1">
      <c r="A396" s="37" t="s">
        <v>584</v>
      </c>
      <c r="B396" s="37">
        <v>1</v>
      </c>
      <c r="C396" s="37"/>
      <c r="D396" s="37"/>
      <c r="E396" s="37">
        <v>4</v>
      </c>
      <c r="F396" s="37"/>
      <c r="G396" s="37"/>
      <c r="H396" s="37"/>
      <c r="I396" s="37"/>
      <c r="J396" s="37">
        <v>660</v>
      </c>
      <c r="K396" s="280">
        <v>4</v>
      </c>
      <c r="L396" s="273" t="s">
        <v>27</v>
      </c>
      <c r="M396" s="428">
        <f aca="true" t="shared" si="159" ref="M396:S396">M397+M403</f>
        <v>0</v>
      </c>
      <c r="N396" s="428">
        <f t="shared" si="159"/>
        <v>22828.32304731568</v>
      </c>
      <c r="O396" s="465">
        <f t="shared" si="159"/>
        <v>41908.42126219391</v>
      </c>
      <c r="P396" s="465">
        <f t="shared" si="159"/>
        <v>22828.32304731568</v>
      </c>
      <c r="Q396" s="465">
        <f t="shared" si="159"/>
        <v>0</v>
      </c>
      <c r="R396" s="465">
        <f t="shared" si="159"/>
        <v>1327.23</v>
      </c>
      <c r="S396" s="465">
        <f t="shared" si="159"/>
        <v>0</v>
      </c>
      <c r="T396" s="437" t="e">
        <f t="shared" si="155"/>
        <v>#DIV/0!</v>
      </c>
      <c r="U396" s="437">
        <f t="shared" si="156"/>
        <v>0</v>
      </c>
      <c r="V396" s="78"/>
      <c r="W396" s="78"/>
      <c r="X396" s="78"/>
      <c r="Y396" s="78"/>
      <c r="Z396" s="78"/>
      <c r="AA396" s="78"/>
      <c r="AB396" s="78"/>
    </row>
    <row r="397" spans="1:28" s="75" customFormat="1" ht="19.5" customHeight="1">
      <c r="A397" s="37" t="s">
        <v>584</v>
      </c>
      <c r="B397" s="37">
        <v>1</v>
      </c>
      <c r="C397" s="37"/>
      <c r="D397" s="37"/>
      <c r="E397" s="37">
        <v>4</v>
      </c>
      <c r="F397" s="37"/>
      <c r="G397" s="37"/>
      <c r="H397" s="37"/>
      <c r="I397" s="37"/>
      <c r="J397" s="37">
        <v>660</v>
      </c>
      <c r="K397" s="272">
        <v>42</v>
      </c>
      <c r="L397" s="278" t="s">
        <v>29</v>
      </c>
      <c r="M397" s="428">
        <f aca="true" t="shared" si="160" ref="M397:S397">M398+M401</f>
        <v>0</v>
      </c>
      <c r="N397" s="428">
        <f t="shared" si="160"/>
        <v>2919.901785121773</v>
      </c>
      <c r="O397" s="465">
        <f t="shared" si="160"/>
        <v>22000</v>
      </c>
      <c r="P397" s="465">
        <f t="shared" si="160"/>
        <v>2919.901785121773</v>
      </c>
      <c r="Q397" s="465">
        <f t="shared" si="160"/>
        <v>0</v>
      </c>
      <c r="R397" s="465">
        <f t="shared" si="160"/>
        <v>1327.23</v>
      </c>
      <c r="S397" s="465">
        <f t="shared" si="160"/>
        <v>0</v>
      </c>
      <c r="T397" s="437" t="e">
        <f t="shared" si="155"/>
        <v>#DIV/0!</v>
      </c>
      <c r="U397" s="437">
        <f t="shared" si="156"/>
        <v>0</v>
      </c>
      <c r="V397" s="78"/>
      <c r="W397" s="78"/>
      <c r="X397" s="78"/>
      <c r="Y397" s="78"/>
      <c r="Z397" s="78"/>
      <c r="AA397" s="78"/>
      <c r="AB397" s="78"/>
    </row>
    <row r="398" spans="1:28" s="75" customFormat="1" ht="24" customHeight="1">
      <c r="A398" s="37" t="s">
        <v>584</v>
      </c>
      <c r="B398" s="37">
        <v>1</v>
      </c>
      <c r="C398" s="37"/>
      <c r="D398" s="37"/>
      <c r="E398" s="37">
        <v>4</v>
      </c>
      <c r="F398" s="37"/>
      <c r="G398" s="37"/>
      <c r="H398" s="37"/>
      <c r="I398" s="37"/>
      <c r="J398" s="37">
        <v>660</v>
      </c>
      <c r="K398" s="280">
        <v>421</v>
      </c>
      <c r="L398" s="281" t="s">
        <v>13</v>
      </c>
      <c r="M398" s="428">
        <f>SUM(M399:M400)</f>
        <v>0</v>
      </c>
      <c r="N398" s="428">
        <f>N399+N400</f>
        <v>1592.6737009755125</v>
      </c>
      <c r="O398" s="465">
        <f>SUM(O399:O400)</f>
        <v>12000</v>
      </c>
      <c r="P398" s="465">
        <f>SUM(P399:P400)</f>
        <v>1592.6737009755125</v>
      </c>
      <c r="Q398" s="465">
        <f>SUM(Q399:Q400)</f>
        <v>0</v>
      </c>
      <c r="R398" s="465">
        <f>SUM(R399:R400)</f>
        <v>1327.23</v>
      </c>
      <c r="S398" s="465">
        <f>SUM(S399:S400)</f>
        <v>0</v>
      </c>
      <c r="T398" s="437" t="e">
        <f t="shared" si="155"/>
        <v>#DIV/0!</v>
      </c>
      <c r="U398" s="437">
        <f t="shared" si="156"/>
        <v>0</v>
      </c>
      <c r="V398" s="78"/>
      <c r="W398" s="78"/>
      <c r="X398" s="78"/>
      <c r="Y398" s="78"/>
      <c r="Z398" s="78"/>
      <c r="AA398" s="78"/>
      <c r="AB398" s="78"/>
    </row>
    <row r="399" spans="1:28" s="75" customFormat="1" ht="42.75" customHeight="1">
      <c r="A399" s="37" t="s">
        <v>584</v>
      </c>
      <c r="B399" s="37">
        <v>1</v>
      </c>
      <c r="C399" s="37"/>
      <c r="D399" s="37"/>
      <c r="E399" s="37">
        <v>4</v>
      </c>
      <c r="F399" s="37"/>
      <c r="G399" s="37"/>
      <c r="H399" s="37"/>
      <c r="I399" s="37"/>
      <c r="J399" s="37">
        <v>660</v>
      </c>
      <c r="K399" s="36">
        <v>4214</v>
      </c>
      <c r="L399" s="352" t="s">
        <v>520</v>
      </c>
      <c r="M399" s="428">
        <v>0</v>
      </c>
      <c r="N399" s="428">
        <f>10000/7.5345</f>
        <v>1327.2280841462605</v>
      </c>
      <c r="O399" s="428">
        <v>10000</v>
      </c>
      <c r="P399" s="428">
        <f>10000/7.5345</f>
        <v>1327.2280841462605</v>
      </c>
      <c r="Q399" s="428">
        <v>0</v>
      </c>
      <c r="R399" s="428">
        <v>1327.23</v>
      </c>
      <c r="S399" s="428"/>
      <c r="T399" s="437" t="e">
        <f t="shared" si="155"/>
        <v>#DIV/0!</v>
      </c>
      <c r="U399" s="437">
        <f t="shared" si="156"/>
        <v>0</v>
      </c>
      <c r="V399" s="78"/>
      <c r="W399" s="78"/>
      <c r="X399" s="78"/>
      <c r="Y399" s="78"/>
      <c r="Z399" s="78"/>
      <c r="AA399" s="78"/>
      <c r="AB399" s="78"/>
    </row>
    <row r="400" spans="1:28" s="75" customFormat="1" ht="33.75" customHeight="1">
      <c r="A400" s="37" t="s">
        <v>584</v>
      </c>
      <c r="B400" s="37">
        <v>1</v>
      </c>
      <c r="C400" s="37"/>
      <c r="D400" s="37"/>
      <c r="E400" s="37">
        <v>4</v>
      </c>
      <c r="F400" s="37"/>
      <c r="G400" s="37"/>
      <c r="H400" s="37"/>
      <c r="I400" s="37"/>
      <c r="J400" s="37">
        <v>660</v>
      </c>
      <c r="K400" s="36">
        <v>4214</v>
      </c>
      <c r="L400" s="352" t="s">
        <v>334</v>
      </c>
      <c r="M400" s="428">
        <v>0</v>
      </c>
      <c r="N400" s="428">
        <f>2000/7.5345</f>
        <v>265.4456168292521</v>
      </c>
      <c r="O400" s="428">
        <v>2000</v>
      </c>
      <c r="P400" s="428">
        <f>2000/7.5345</f>
        <v>265.4456168292521</v>
      </c>
      <c r="Q400" s="428">
        <v>0</v>
      </c>
      <c r="R400" s="428">
        <v>0</v>
      </c>
      <c r="S400" s="428"/>
      <c r="T400" s="437" t="e">
        <f t="shared" si="155"/>
        <v>#DIV/0!</v>
      </c>
      <c r="U400" s="437" t="e">
        <f t="shared" si="156"/>
        <v>#DIV/0!</v>
      </c>
      <c r="V400" s="78"/>
      <c r="W400" s="78"/>
      <c r="X400" s="78"/>
      <c r="Y400" s="78"/>
      <c r="Z400" s="78"/>
      <c r="AA400" s="78"/>
      <c r="AB400" s="78"/>
    </row>
    <row r="401" spans="1:28" s="75" customFormat="1" ht="18" customHeight="1">
      <c r="A401" s="37" t="s">
        <v>584</v>
      </c>
      <c r="B401" s="37">
        <v>1</v>
      </c>
      <c r="C401" s="37"/>
      <c r="D401" s="37"/>
      <c r="E401" s="37">
        <v>4</v>
      </c>
      <c r="F401" s="37"/>
      <c r="G401" s="37"/>
      <c r="H401" s="37"/>
      <c r="I401" s="37"/>
      <c r="J401" s="37">
        <v>660</v>
      </c>
      <c r="K401" s="280">
        <v>422</v>
      </c>
      <c r="L401" s="385" t="s">
        <v>14</v>
      </c>
      <c r="M401" s="422">
        <f aca="true" t="shared" si="161" ref="M401:S401">M402</f>
        <v>0</v>
      </c>
      <c r="N401" s="422">
        <f t="shared" si="161"/>
        <v>1327.2280841462605</v>
      </c>
      <c r="O401" s="437">
        <f t="shared" si="161"/>
        <v>10000</v>
      </c>
      <c r="P401" s="437">
        <f t="shared" si="161"/>
        <v>1327.2280841462605</v>
      </c>
      <c r="Q401" s="437">
        <f t="shared" si="161"/>
        <v>0</v>
      </c>
      <c r="R401" s="437">
        <f t="shared" si="161"/>
        <v>0</v>
      </c>
      <c r="S401" s="437">
        <f t="shared" si="161"/>
        <v>0</v>
      </c>
      <c r="T401" s="437" t="e">
        <f t="shared" si="155"/>
        <v>#DIV/0!</v>
      </c>
      <c r="U401" s="437" t="e">
        <f t="shared" si="156"/>
        <v>#DIV/0!</v>
      </c>
      <c r="V401" s="78"/>
      <c r="W401" s="78"/>
      <c r="X401" s="78"/>
      <c r="Y401" s="78"/>
      <c r="Z401" s="78"/>
      <c r="AA401" s="78"/>
      <c r="AB401" s="78"/>
    </row>
    <row r="402" spans="1:28" s="75" customFormat="1" ht="26.25" customHeight="1">
      <c r="A402" s="37" t="s">
        <v>584</v>
      </c>
      <c r="B402" s="37">
        <v>1</v>
      </c>
      <c r="C402" s="37"/>
      <c r="D402" s="37"/>
      <c r="E402" s="37">
        <v>4</v>
      </c>
      <c r="F402" s="37"/>
      <c r="G402" s="37"/>
      <c r="H402" s="37"/>
      <c r="I402" s="37"/>
      <c r="J402" s="37">
        <v>660</v>
      </c>
      <c r="K402" s="36">
        <v>42273</v>
      </c>
      <c r="L402" s="352" t="s">
        <v>513</v>
      </c>
      <c r="M402" s="428">
        <v>0</v>
      </c>
      <c r="N402" s="428">
        <f>10000/7.5345</f>
        <v>1327.2280841462605</v>
      </c>
      <c r="O402" s="428">
        <v>10000</v>
      </c>
      <c r="P402" s="428">
        <f>10000/7.5345</f>
        <v>1327.2280841462605</v>
      </c>
      <c r="Q402" s="428">
        <v>0</v>
      </c>
      <c r="R402" s="428">
        <v>0</v>
      </c>
      <c r="S402" s="428"/>
      <c r="T402" s="437" t="e">
        <f t="shared" si="155"/>
        <v>#DIV/0!</v>
      </c>
      <c r="U402" s="437" t="e">
        <f t="shared" si="156"/>
        <v>#DIV/0!</v>
      </c>
      <c r="V402" s="78"/>
      <c r="W402" s="78"/>
      <c r="X402" s="78"/>
      <c r="Y402" s="78"/>
      <c r="Z402" s="78"/>
      <c r="AA402" s="78"/>
      <c r="AB402" s="78"/>
    </row>
    <row r="403" spans="1:28" s="75" customFormat="1" ht="17.25" customHeight="1">
      <c r="A403" s="37" t="s">
        <v>584</v>
      </c>
      <c r="B403" s="37">
        <v>1</v>
      </c>
      <c r="C403" s="37"/>
      <c r="D403" s="37"/>
      <c r="E403" s="37">
        <v>4</v>
      </c>
      <c r="F403" s="37"/>
      <c r="G403" s="37"/>
      <c r="H403" s="37"/>
      <c r="I403" s="37"/>
      <c r="J403" s="37">
        <v>660</v>
      </c>
      <c r="K403" s="280">
        <v>45</v>
      </c>
      <c r="L403" s="353" t="s">
        <v>495</v>
      </c>
      <c r="M403" s="422">
        <f aca="true" t="shared" si="162" ref="M403:S404">M404</f>
        <v>0</v>
      </c>
      <c r="N403" s="422">
        <f t="shared" si="162"/>
        <v>19908.421262193908</v>
      </c>
      <c r="O403" s="437">
        <f t="shared" si="162"/>
        <v>19908.421262193908</v>
      </c>
      <c r="P403" s="437">
        <f t="shared" si="162"/>
        <v>19908.421262193908</v>
      </c>
      <c r="Q403" s="437">
        <f>Q404</f>
        <v>0</v>
      </c>
      <c r="R403" s="437">
        <f>R404</f>
        <v>0</v>
      </c>
      <c r="S403" s="437">
        <f>S404</f>
        <v>0</v>
      </c>
      <c r="T403" s="437" t="e">
        <f t="shared" si="155"/>
        <v>#DIV/0!</v>
      </c>
      <c r="U403" s="437" t="e">
        <f t="shared" si="156"/>
        <v>#DIV/0!</v>
      </c>
      <c r="V403" s="78"/>
      <c r="W403" s="78"/>
      <c r="X403" s="78"/>
      <c r="Y403" s="78"/>
      <c r="Z403" s="78"/>
      <c r="AA403" s="78"/>
      <c r="AB403" s="78"/>
    </row>
    <row r="404" spans="1:28" s="75" customFormat="1" ht="23.25" customHeight="1">
      <c r="A404" s="37" t="s">
        <v>584</v>
      </c>
      <c r="B404" s="37">
        <v>1</v>
      </c>
      <c r="C404" s="37"/>
      <c r="D404" s="37"/>
      <c r="E404" s="37">
        <v>4</v>
      </c>
      <c r="F404" s="37"/>
      <c r="G404" s="37"/>
      <c r="H404" s="37"/>
      <c r="I404" s="37"/>
      <c r="J404" s="37">
        <v>660</v>
      </c>
      <c r="K404" s="280">
        <v>454</v>
      </c>
      <c r="L404" s="385" t="s">
        <v>494</v>
      </c>
      <c r="M404" s="422">
        <f t="shared" si="162"/>
        <v>0</v>
      </c>
      <c r="N404" s="422">
        <f t="shared" si="162"/>
        <v>19908.421262193908</v>
      </c>
      <c r="O404" s="437">
        <f t="shared" si="162"/>
        <v>19908.421262193908</v>
      </c>
      <c r="P404" s="437">
        <f t="shared" si="162"/>
        <v>19908.421262193908</v>
      </c>
      <c r="Q404" s="437">
        <f t="shared" si="162"/>
        <v>0</v>
      </c>
      <c r="R404" s="437">
        <f t="shared" si="162"/>
        <v>0</v>
      </c>
      <c r="S404" s="437">
        <f t="shared" si="162"/>
        <v>0</v>
      </c>
      <c r="T404" s="437" t="e">
        <f t="shared" si="155"/>
        <v>#DIV/0!</v>
      </c>
      <c r="U404" s="437" t="e">
        <f t="shared" si="156"/>
        <v>#DIV/0!</v>
      </c>
      <c r="V404" s="78"/>
      <c r="W404" s="78"/>
      <c r="X404" s="78"/>
      <c r="Y404" s="78"/>
      <c r="Z404" s="78"/>
      <c r="AA404" s="78"/>
      <c r="AB404" s="78"/>
    </row>
    <row r="405" spans="1:28" s="75" customFormat="1" ht="23.25" customHeight="1">
      <c r="A405" s="37" t="s">
        <v>584</v>
      </c>
      <c r="B405" s="37">
        <v>1</v>
      </c>
      <c r="C405" s="37"/>
      <c r="D405" s="37"/>
      <c r="E405" s="37">
        <v>4</v>
      </c>
      <c r="F405" s="37"/>
      <c r="G405" s="37"/>
      <c r="H405" s="37"/>
      <c r="I405" s="37"/>
      <c r="J405" s="37">
        <v>660</v>
      </c>
      <c r="K405" s="36">
        <v>4541</v>
      </c>
      <c r="L405" s="352" t="s">
        <v>610</v>
      </c>
      <c r="M405" s="428">
        <v>0</v>
      </c>
      <c r="N405" s="428">
        <f>150000/7.5345</f>
        <v>19908.421262193908</v>
      </c>
      <c r="O405" s="428">
        <f>150000/7.5345</f>
        <v>19908.421262193908</v>
      </c>
      <c r="P405" s="428">
        <f>150000/7.5345</f>
        <v>19908.421262193908</v>
      </c>
      <c r="Q405" s="428">
        <v>0</v>
      </c>
      <c r="R405" s="428">
        <v>0</v>
      </c>
      <c r="S405" s="428"/>
      <c r="T405" s="437" t="e">
        <f t="shared" si="155"/>
        <v>#DIV/0!</v>
      </c>
      <c r="U405" s="437" t="e">
        <f t="shared" si="156"/>
        <v>#DIV/0!</v>
      </c>
      <c r="V405" s="78"/>
      <c r="W405" s="78"/>
      <c r="X405" s="78"/>
      <c r="Y405" s="78"/>
      <c r="Z405" s="78"/>
      <c r="AA405" s="78"/>
      <c r="AB405" s="78"/>
    </row>
    <row r="406" spans="1:36" s="128" customFormat="1" ht="15.75">
      <c r="A406" s="125"/>
      <c r="B406" s="125"/>
      <c r="C406" s="125"/>
      <c r="D406" s="125"/>
      <c r="E406" s="125"/>
      <c r="F406" s="125"/>
      <c r="G406" s="125"/>
      <c r="H406" s="125"/>
      <c r="I406" s="125"/>
      <c r="J406" s="125"/>
      <c r="K406" s="126"/>
      <c r="L406" s="348" t="s">
        <v>137</v>
      </c>
      <c r="M406" s="421">
        <f aca="true" t="shared" si="163" ref="M406:S406">M382+M396</f>
        <v>195877.23140221648</v>
      </c>
      <c r="N406" s="421">
        <f t="shared" si="163"/>
        <v>200676.8863229146</v>
      </c>
      <c r="O406" s="421">
        <f t="shared" si="163"/>
        <v>1381908.421262194</v>
      </c>
      <c r="P406" s="421">
        <f t="shared" si="163"/>
        <v>200676.8863229146</v>
      </c>
      <c r="Q406" s="421">
        <f t="shared" si="163"/>
        <v>79461.2</v>
      </c>
      <c r="R406" s="421">
        <f t="shared" si="163"/>
        <v>173764.73</v>
      </c>
      <c r="S406" s="421">
        <f t="shared" si="163"/>
        <v>187143.14</v>
      </c>
      <c r="T406" s="421">
        <f t="shared" si="155"/>
        <v>95.54103795541107</v>
      </c>
      <c r="U406" s="421">
        <f t="shared" si="156"/>
        <v>107.69915160573724</v>
      </c>
      <c r="V406" s="78"/>
      <c r="W406" s="78"/>
      <c r="X406" s="78"/>
      <c r="Y406" s="78"/>
      <c r="Z406" s="78"/>
      <c r="AA406" s="78"/>
      <c r="AB406" s="78"/>
      <c r="AC406" s="75"/>
      <c r="AD406" s="75"/>
      <c r="AE406" s="75"/>
      <c r="AF406" s="75"/>
      <c r="AG406" s="75"/>
      <c r="AH406" s="75"/>
      <c r="AI406" s="75"/>
      <c r="AJ406" s="75"/>
    </row>
    <row r="407" spans="1:36" s="46" customFormat="1" ht="15">
      <c r="A407" s="19"/>
      <c r="B407" s="19"/>
      <c r="C407" s="19"/>
      <c r="D407" s="19"/>
      <c r="E407" s="19"/>
      <c r="F407" s="19"/>
      <c r="G407" s="19"/>
      <c r="H407" s="19"/>
      <c r="I407" s="19"/>
      <c r="J407" s="19"/>
      <c r="K407" s="19"/>
      <c r="L407" s="55"/>
      <c r="M407" s="429"/>
      <c r="N407" s="429"/>
      <c r="O407" s="429"/>
      <c r="P407" s="429"/>
      <c r="Q407" s="429"/>
      <c r="R407" s="429"/>
      <c r="S407" s="429"/>
      <c r="T407" s="429"/>
      <c r="U407" s="429"/>
      <c r="V407" s="78"/>
      <c r="W407" s="78"/>
      <c r="X407" s="78"/>
      <c r="Y407" s="78"/>
      <c r="Z407" s="78"/>
      <c r="AA407" s="78"/>
      <c r="AB407" s="78"/>
      <c r="AC407" s="78"/>
      <c r="AD407" s="78"/>
      <c r="AE407" s="78"/>
      <c r="AF407" s="78"/>
      <c r="AG407" s="78"/>
      <c r="AH407" s="78"/>
      <c r="AI407" s="78"/>
      <c r="AJ407" s="78"/>
    </row>
    <row r="408" spans="1:36" s="212" customFormat="1" ht="15">
      <c r="A408" s="79" t="s">
        <v>206</v>
      </c>
      <c r="B408" s="79"/>
      <c r="C408" s="79"/>
      <c r="D408" s="79"/>
      <c r="E408" s="79"/>
      <c r="F408" s="79"/>
      <c r="G408" s="79"/>
      <c r="H408" s="79"/>
      <c r="I408" s="79"/>
      <c r="J408" s="79"/>
      <c r="K408" s="41" t="s">
        <v>205</v>
      </c>
      <c r="L408" s="613" t="s">
        <v>356</v>
      </c>
      <c r="M408" s="430"/>
      <c r="N408" s="430"/>
      <c r="O408" s="430"/>
      <c r="P408" s="430"/>
      <c r="Q408" s="430"/>
      <c r="R408" s="430"/>
      <c r="S408" s="430"/>
      <c r="T408" s="430"/>
      <c r="U408" s="430"/>
      <c r="V408" s="78"/>
      <c r="W408" s="78"/>
      <c r="X408" s="78"/>
      <c r="Y408" s="78"/>
      <c r="Z408" s="78"/>
      <c r="AA408" s="78"/>
      <c r="AB408" s="78"/>
      <c r="AC408" s="78"/>
      <c r="AD408" s="78"/>
      <c r="AE408" s="78"/>
      <c r="AF408" s="78"/>
      <c r="AG408" s="78"/>
      <c r="AH408" s="78"/>
      <c r="AI408" s="78"/>
      <c r="AJ408" s="78"/>
    </row>
    <row r="409" spans="1:36" s="212" customFormat="1" ht="20.25" customHeight="1">
      <c r="A409" s="79" t="s">
        <v>207</v>
      </c>
      <c r="B409" s="79"/>
      <c r="C409" s="79"/>
      <c r="D409" s="79"/>
      <c r="E409" s="79"/>
      <c r="F409" s="79"/>
      <c r="G409" s="79"/>
      <c r="H409" s="79"/>
      <c r="I409" s="79"/>
      <c r="J409" s="79"/>
      <c r="K409" s="41" t="s">
        <v>25</v>
      </c>
      <c r="L409" s="615"/>
      <c r="M409" s="430"/>
      <c r="N409" s="430"/>
      <c r="O409" s="430"/>
      <c r="P409" s="430"/>
      <c r="Q409" s="430"/>
      <c r="R409" s="430"/>
      <c r="S409" s="430"/>
      <c r="T409" s="430"/>
      <c r="U409" s="430"/>
      <c r="V409" s="78"/>
      <c r="W409" s="78"/>
      <c r="X409" s="78"/>
      <c r="Y409" s="78"/>
      <c r="Z409" s="78"/>
      <c r="AA409" s="78"/>
      <c r="AB409" s="78"/>
      <c r="AC409" s="78"/>
      <c r="AD409" s="78"/>
      <c r="AE409" s="78"/>
      <c r="AF409" s="78"/>
      <c r="AG409" s="78"/>
      <c r="AH409" s="78"/>
      <c r="AI409" s="78"/>
      <c r="AJ409" s="78"/>
    </row>
    <row r="410" spans="1:28" s="75" customFormat="1" ht="15.75">
      <c r="A410" s="37" t="s">
        <v>207</v>
      </c>
      <c r="B410" s="37">
        <v>1</v>
      </c>
      <c r="C410" s="37"/>
      <c r="D410" s="37"/>
      <c r="E410" s="37">
        <v>4</v>
      </c>
      <c r="F410" s="37"/>
      <c r="G410" s="37"/>
      <c r="H410" s="37"/>
      <c r="I410" s="37"/>
      <c r="J410" s="37">
        <v>560</v>
      </c>
      <c r="K410" s="272">
        <v>3</v>
      </c>
      <c r="L410" s="273" t="s">
        <v>0</v>
      </c>
      <c r="M410" s="422">
        <f aca="true" t="shared" si="164" ref="M410:S410">M411+M416</f>
        <v>20533.811135443626</v>
      </c>
      <c r="N410" s="422">
        <f t="shared" si="164"/>
        <v>19276.166965292985</v>
      </c>
      <c r="O410" s="437">
        <f t="shared" si="164"/>
        <v>145236.28</v>
      </c>
      <c r="P410" s="437">
        <f t="shared" si="164"/>
        <v>19276.166965292985</v>
      </c>
      <c r="Q410" s="437">
        <f t="shared" si="164"/>
        <v>2264.97</v>
      </c>
      <c r="R410" s="437">
        <f t="shared" si="164"/>
        <v>20124.050000000003</v>
      </c>
      <c r="S410" s="437">
        <f t="shared" si="164"/>
        <v>20503.04</v>
      </c>
      <c r="T410" s="437">
        <f>S410/M410*100</f>
        <v>99.85014406122343</v>
      </c>
      <c r="U410" s="437">
        <f>S410/R410*100</f>
        <v>101.8832690238794</v>
      </c>
      <c r="V410" s="78"/>
      <c r="W410" s="78"/>
      <c r="X410" s="78"/>
      <c r="Y410" s="78"/>
      <c r="Z410" s="78"/>
      <c r="AA410" s="78"/>
      <c r="AB410" s="78"/>
    </row>
    <row r="411" spans="1:28" s="75" customFormat="1" ht="15">
      <c r="A411" s="37" t="s">
        <v>207</v>
      </c>
      <c r="B411" s="37">
        <v>1</v>
      </c>
      <c r="C411" s="37"/>
      <c r="D411" s="37"/>
      <c r="E411" s="37">
        <v>4</v>
      </c>
      <c r="F411" s="37"/>
      <c r="G411" s="37"/>
      <c r="H411" s="37"/>
      <c r="I411" s="37"/>
      <c r="J411" s="37">
        <v>560</v>
      </c>
      <c r="K411" s="272">
        <v>31</v>
      </c>
      <c r="L411" s="278" t="s">
        <v>2</v>
      </c>
      <c r="M411" s="422">
        <f aca="true" t="shared" si="165" ref="M411:S411">M412+M414</f>
        <v>17393.19131992833</v>
      </c>
      <c r="N411" s="422">
        <f t="shared" si="165"/>
        <v>17393.1435397173</v>
      </c>
      <c r="O411" s="437">
        <f t="shared" si="165"/>
        <v>131048.64</v>
      </c>
      <c r="P411" s="437">
        <f t="shared" si="165"/>
        <v>17393.1435397173</v>
      </c>
      <c r="Q411" s="437">
        <f t="shared" si="165"/>
        <v>0</v>
      </c>
      <c r="R411" s="437">
        <f t="shared" si="165"/>
        <v>14966.27</v>
      </c>
      <c r="S411" s="437">
        <f t="shared" si="165"/>
        <v>14966.27</v>
      </c>
      <c r="T411" s="437">
        <f aca="true" t="shared" si="166" ref="T411:T433">S411/M411*100</f>
        <v>86.04671635418812</v>
      </c>
      <c r="U411" s="437">
        <f aca="true" t="shared" si="167" ref="U411:U433">S411/R411*100</f>
        <v>100</v>
      </c>
      <c r="V411" s="78"/>
      <c r="W411" s="78"/>
      <c r="X411" s="78"/>
      <c r="Y411" s="78"/>
      <c r="Z411" s="78"/>
      <c r="AA411" s="78"/>
      <c r="AB411" s="78"/>
    </row>
    <row r="412" spans="1:28" s="75" customFormat="1" ht="27" customHeight="1">
      <c r="A412" s="37" t="s">
        <v>207</v>
      </c>
      <c r="B412" s="37">
        <v>1</v>
      </c>
      <c r="C412" s="37"/>
      <c r="D412" s="37"/>
      <c r="E412" s="37">
        <v>4</v>
      </c>
      <c r="F412" s="37"/>
      <c r="G412" s="37"/>
      <c r="H412" s="37"/>
      <c r="I412" s="37"/>
      <c r="J412" s="37">
        <v>560</v>
      </c>
      <c r="K412" s="272">
        <v>311</v>
      </c>
      <c r="L412" s="273" t="s">
        <v>58</v>
      </c>
      <c r="M412" s="422">
        <f aca="true" t="shared" si="168" ref="M412:S412">M413</f>
        <v>14929.723272944455</v>
      </c>
      <c r="N412" s="422">
        <f t="shared" si="168"/>
        <v>14929.723272944455</v>
      </c>
      <c r="O412" s="437">
        <f t="shared" si="168"/>
        <v>112488</v>
      </c>
      <c r="P412" s="437">
        <f t="shared" si="168"/>
        <v>14929.723272944455</v>
      </c>
      <c r="Q412" s="437">
        <f t="shared" si="168"/>
        <v>0</v>
      </c>
      <c r="R412" s="437">
        <f t="shared" si="168"/>
        <v>12846.57</v>
      </c>
      <c r="S412" s="437">
        <f t="shared" si="168"/>
        <v>12846.57</v>
      </c>
      <c r="T412" s="437">
        <f t="shared" si="166"/>
        <v>86.04693982024749</v>
      </c>
      <c r="U412" s="437">
        <f t="shared" si="167"/>
        <v>100</v>
      </c>
      <c r="V412" s="78"/>
      <c r="W412" s="78"/>
      <c r="X412" s="78"/>
      <c r="Y412" s="78"/>
      <c r="Z412" s="78"/>
      <c r="AA412" s="78"/>
      <c r="AB412" s="78"/>
    </row>
    <row r="413" spans="1:28" s="75" customFormat="1" ht="34.5" customHeight="1">
      <c r="A413" s="37" t="s">
        <v>207</v>
      </c>
      <c r="B413" s="37">
        <v>1</v>
      </c>
      <c r="C413" s="37"/>
      <c r="D413" s="37"/>
      <c r="E413" s="37">
        <v>4</v>
      </c>
      <c r="F413" s="37"/>
      <c r="G413" s="37"/>
      <c r="H413" s="37"/>
      <c r="I413" s="37"/>
      <c r="J413" s="37">
        <v>560</v>
      </c>
      <c r="K413" s="42">
        <v>3111</v>
      </c>
      <c r="L413" s="88" t="s">
        <v>58</v>
      </c>
      <c r="M413" s="422">
        <f>112488/7.5345</f>
        <v>14929.723272944455</v>
      </c>
      <c r="N413" s="422">
        <f>(18748*6)/7.5345</f>
        <v>14929.723272944455</v>
      </c>
      <c r="O413" s="422">
        <f>18748*6</f>
        <v>112488</v>
      </c>
      <c r="P413" s="422">
        <f>(18748*6)/7.5345</f>
        <v>14929.723272944455</v>
      </c>
      <c r="Q413" s="422">
        <v>0</v>
      </c>
      <c r="R413" s="422">
        <v>12846.57</v>
      </c>
      <c r="S413" s="422">
        <v>12846.57</v>
      </c>
      <c r="T413" s="437">
        <f t="shared" si="166"/>
        <v>86.04693982024749</v>
      </c>
      <c r="U413" s="437">
        <f t="shared" si="167"/>
        <v>100</v>
      </c>
      <c r="V413" s="78"/>
      <c r="W413" s="78"/>
      <c r="X413" s="78"/>
      <c r="Y413" s="78"/>
      <c r="Z413" s="78"/>
      <c r="AA413" s="78"/>
      <c r="AB413" s="78"/>
    </row>
    <row r="414" spans="1:28" s="75" customFormat="1" ht="23.25" customHeight="1">
      <c r="A414" s="37" t="s">
        <v>207</v>
      </c>
      <c r="B414" s="37">
        <v>1</v>
      </c>
      <c r="C414" s="37"/>
      <c r="D414" s="37"/>
      <c r="E414" s="37">
        <v>4</v>
      </c>
      <c r="F414" s="37"/>
      <c r="G414" s="37"/>
      <c r="H414" s="37"/>
      <c r="I414" s="37"/>
      <c r="J414" s="37">
        <v>560</v>
      </c>
      <c r="K414" s="282">
        <v>313</v>
      </c>
      <c r="L414" s="334" t="s">
        <v>151</v>
      </c>
      <c r="M414" s="422">
        <f aca="true" t="shared" si="169" ref="M414:S414">M415</f>
        <v>2463.468046983874</v>
      </c>
      <c r="N414" s="422">
        <f t="shared" si="169"/>
        <v>2463.4202667728446</v>
      </c>
      <c r="O414" s="437">
        <f t="shared" si="169"/>
        <v>18560.64</v>
      </c>
      <c r="P414" s="437">
        <f t="shared" si="169"/>
        <v>2463.4202667728446</v>
      </c>
      <c r="Q414" s="437">
        <f t="shared" si="169"/>
        <v>0</v>
      </c>
      <c r="R414" s="437">
        <f t="shared" si="169"/>
        <v>2119.7</v>
      </c>
      <c r="S414" s="437">
        <f t="shared" si="169"/>
        <v>2119.7</v>
      </c>
      <c r="T414" s="437">
        <f t="shared" si="166"/>
        <v>86.04536204945855</v>
      </c>
      <c r="U414" s="437">
        <f t="shared" si="167"/>
        <v>100</v>
      </c>
      <c r="V414" s="78"/>
      <c r="W414" s="78"/>
      <c r="X414" s="78"/>
      <c r="Y414" s="78"/>
      <c r="Z414" s="78"/>
      <c r="AA414" s="78"/>
      <c r="AB414" s="78"/>
    </row>
    <row r="415" spans="1:28" s="75" customFormat="1" ht="25.5" customHeight="1">
      <c r="A415" s="37" t="s">
        <v>207</v>
      </c>
      <c r="B415" s="37">
        <v>1</v>
      </c>
      <c r="C415" s="37"/>
      <c r="D415" s="37"/>
      <c r="E415" s="37">
        <v>4</v>
      </c>
      <c r="F415" s="37"/>
      <c r="G415" s="37"/>
      <c r="H415" s="37"/>
      <c r="I415" s="37"/>
      <c r="J415" s="37">
        <v>560</v>
      </c>
      <c r="K415" s="97">
        <v>3132</v>
      </c>
      <c r="L415" s="177" t="s">
        <v>141</v>
      </c>
      <c r="M415" s="422">
        <f>18561/7.5345</f>
        <v>2463.468046983874</v>
      </c>
      <c r="N415" s="422">
        <f>(3093.44*6)/7.5345</f>
        <v>2463.4202667728446</v>
      </c>
      <c r="O415" s="422">
        <f>3093.44*6</f>
        <v>18560.64</v>
      </c>
      <c r="P415" s="422">
        <f>(3093.44*6)/7.5345</f>
        <v>2463.4202667728446</v>
      </c>
      <c r="Q415" s="422">
        <v>0</v>
      </c>
      <c r="R415" s="422">
        <v>2119.7</v>
      </c>
      <c r="S415" s="422">
        <v>2119.7</v>
      </c>
      <c r="T415" s="437">
        <f t="shared" si="166"/>
        <v>86.04536204945855</v>
      </c>
      <c r="U415" s="437">
        <f t="shared" si="167"/>
        <v>100</v>
      </c>
      <c r="V415" s="78"/>
      <c r="W415" s="78"/>
      <c r="X415" s="78"/>
      <c r="Y415" s="78"/>
      <c r="Z415" s="78"/>
      <c r="AA415" s="78"/>
      <c r="AB415" s="78"/>
    </row>
    <row r="416" spans="1:28" s="75" customFormat="1" ht="26.25" customHeight="1">
      <c r="A416" s="37" t="s">
        <v>207</v>
      </c>
      <c r="B416" s="37">
        <v>1</v>
      </c>
      <c r="C416" s="37"/>
      <c r="D416" s="37"/>
      <c r="E416" s="37">
        <v>4</v>
      </c>
      <c r="F416" s="37"/>
      <c r="G416" s="37"/>
      <c r="H416" s="37"/>
      <c r="I416" s="37"/>
      <c r="J416" s="37">
        <v>560</v>
      </c>
      <c r="K416" s="272">
        <v>32</v>
      </c>
      <c r="L416" s="273" t="s">
        <v>5</v>
      </c>
      <c r="M416" s="422">
        <f aca="true" t="shared" si="170" ref="M416:S416">M417+M420+M425</f>
        <v>3140.619815515296</v>
      </c>
      <c r="N416" s="422">
        <f t="shared" si="170"/>
        <v>1883.023425575685</v>
      </c>
      <c r="O416" s="437">
        <f t="shared" si="170"/>
        <v>14187.64</v>
      </c>
      <c r="P416" s="437">
        <f t="shared" si="170"/>
        <v>1883.023425575685</v>
      </c>
      <c r="Q416" s="437">
        <f t="shared" si="170"/>
        <v>2264.97</v>
      </c>
      <c r="R416" s="437">
        <f t="shared" si="170"/>
        <v>5157.780000000001</v>
      </c>
      <c r="S416" s="437">
        <f t="shared" si="170"/>
        <v>5536.77</v>
      </c>
      <c r="T416" s="437">
        <f t="shared" si="166"/>
        <v>176.29545520432745</v>
      </c>
      <c r="U416" s="437">
        <f t="shared" si="167"/>
        <v>107.34792876004792</v>
      </c>
      <c r="V416" s="78"/>
      <c r="W416" s="78"/>
      <c r="X416" s="78"/>
      <c r="Y416" s="78"/>
      <c r="Z416" s="78"/>
      <c r="AA416" s="78"/>
      <c r="AB416" s="78"/>
    </row>
    <row r="417" spans="1:28" s="75" customFormat="1" ht="18.75" customHeight="1">
      <c r="A417" s="37" t="s">
        <v>207</v>
      </c>
      <c r="B417" s="37">
        <v>1</v>
      </c>
      <c r="C417" s="37"/>
      <c r="D417" s="37"/>
      <c r="E417" s="37">
        <v>4</v>
      </c>
      <c r="F417" s="37"/>
      <c r="G417" s="37"/>
      <c r="H417" s="37"/>
      <c r="I417" s="37"/>
      <c r="J417" s="37">
        <v>560</v>
      </c>
      <c r="K417" s="272">
        <v>321</v>
      </c>
      <c r="L417" s="337" t="s">
        <v>6</v>
      </c>
      <c r="M417" s="422">
        <f aca="true" t="shared" si="171" ref="M417:S417">M418</f>
        <v>821.1560156612913</v>
      </c>
      <c r="N417" s="422">
        <f t="shared" si="171"/>
        <v>891.897272546287</v>
      </c>
      <c r="O417" s="437">
        <f t="shared" si="171"/>
        <v>6720</v>
      </c>
      <c r="P417" s="437">
        <f t="shared" si="171"/>
        <v>891.897272546287</v>
      </c>
      <c r="Q417" s="437">
        <f t="shared" si="171"/>
        <v>0</v>
      </c>
      <c r="R417" s="437">
        <f t="shared" si="171"/>
        <v>987.82</v>
      </c>
      <c r="S417" s="437">
        <f t="shared" si="171"/>
        <v>987.82</v>
      </c>
      <c r="T417" s="437">
        <f t="shared" si="166"/>
        <v>120.29626297074512</v>
      </c>
      <c r="U417" s="437">
        <f t="shared" si="167"/>
        <v>100</v>
      </c>
      <c r="V417" s="78"/>
      <c r="W417" s="78"/>
      <c r="X417" s="78"/>
      <c r="Y417" s="78"/>
      <c r="Z417" s="78"/>
      <c r="AA417" s="78"/>
      <c r="AB417" s="78"/>
    </row>
    <row r="418" spans="1:28" s="75" customFormat="1" ht="23.25" customHeight="1">
      <c r="A418" s="37" t="s">
        <v>207</v>
      </c>
      <c r="B418" s="37">
        <v>1</v>
      </c>
      <c r="C418" s="37"/>
      <c r="D418" s="37"/>
      <c r="E418" s="37">
        <v>4</v>
      </c>
      <c r="F418" s="37"/>
      <c r="G418" s="37"/>
      <c r="H418" s="37"/>
      <c r="I418" s="37"/>
      <c r="J418" s="37">
        <v>560</v>
      </c>
      <c r="K418" s="42">
        <v>3212</v>
      </c>
      <c r="L418" s="333" t="s">
        <v>60</v>
      </c>
      <c r="M418" s="422">
        <f>6187/7.5345</f>
        <v>821.1560156612913</v>
      </c>
      <c r="N418" s="422">
        <f>(1120*6)/7.5345</f>
        <v>891.897272546287</v>
      </c>
      <c r="O418" s="422">
        <f>1120*6</f>
        <v>6720</v>
      </c>
      <c r="P418" s="422">
        <f>(1120*6)/7.5345</f>
        <v>891.897272546287</v>
      </c>
      <c r="Q418" s="422">
        <v>0</v>
      </c>
      <c r="R418" s="422">
        <v>987.82</v>
      </c>
      <c r="S418" s="422">
        <v>987.82</v>
      </c>
      <c r="T418" s="437">
        <f t="shared" si="166"/>
        <v>120.29626297074512</v>
      </c>
      <c r="U418" s="437">
        <f t="shared" si="167"/>
        <v>100</v>
      </c>
      <c r="V418" s="78"/>
      <c r="W418" s="78"/>
      <c r="X418" s="78"/>
      <c r="Y418" s="78"/>
      <c r="Z418" s="78"/>
      <c r="AA418" s="78"/>
      <c r="AB418" s="78"/>
    </row>
    <row r="419" spans="1:28" s="75" customFormat="1" ht="23.25" customHeight="1">
      <c r="A419" s="37" t="s">
        <v>207</v>
      </c>
      <c r="B419" s="37">
        <v>1</v>
      </c>
      <c r="C419" s="37"/>
      <c r="D419" s="37"/>
      <c r="E419" s="37">
        <v>4</v>
      </c>
      <c r="F419" s="37"/>
      <c r="G419" s="37"/>
      <c r="H419" s="37"/>
      <c r="I419" s="37"/>
      <c r="J419" s="37">
        <v>560</v>
      </c>
      <c r="K419" s="42">
        <v>3214</v>
      </c>
      <c r="L419" s="88" t="s">
        <v>103</v>
      </c>
      <c r="M419" s="422"/>
      <c r="N419" s="422"/>
      <c r="O419" s="435"/>
      <c r="P419" s="422"/>
      <c r="Q419" s="422"/>
      <c r="R419" s="422">
        <v>175</v>
      </c>
      <c r="S419" s="422"/>
      <c r="T419" s="437" t="e">
        <f t="shared" si="166"/>
        <v>#DIV/0!</v>
      </c>
      <c r="U419" s="437">
        <f t="shared" si="167"/>
        <v>0</v>
      </c>
      <c r="V419" s="78"/>
      <c r="W419" s="78"/>
      <c r="X419" s="78"/>
      <c r="Y419" s="78"/>
      <c r="Z419" s="78"/>
      <c r="AA419" s="78"/>
      <c r="AB419" s="78"/>
    </row>
    <row r="420" spans="1:28" s="75" customFormat="1" ht="24.75" customHeight="1">
      <c r="A420" s="37" t="s">
        <v>207</v>
      </c>
      <c r="B420" s="37">
        <v>1</v>
      </c>
      <c r="C420" s="37"/>
      <c r="D420" s="37"/>
      <c r="E420" s="37">
        <v>4</v>
      </c>
      <c r="F420" s="37"/>
      <c r="G420" s="37"/>
      <c r="H420" s="37"/>
      <c r="I420" s="37"/>
      <c r="J420" s="37">
        <v>560</v>
      </c>
      <c r="K420" s="272">
        <v>322</v>
      </c>
      <c r="L420" s="273" t="s">
        <v>26</v>
      </c>
      <c r="M420" s="422">
        <f aca="true" t="shared" si="172" ref="M420:S420">M421+M422+M423+M424</f>
        <v>2149.5786050832835</v>
      </c>
      <c r="N420" s="422">
        <f t="shared" si="172"/>
        <v>821.2409582586768</v>
      </c>
      <c r="O420" s="437">
        <f t="shared" si="172"/>
        <v>6187.639999999999</v>
      </c>
      <c r="P420" s="437">
        <f t="shared" si="172"/>
        <v>821.2409582586768</v>
      </c>
      <c r="Q420" s="437">
        <f t="shared" si="172"/>
        <v>1988.9099999999999</v>
      </c>
      <c r="R420" s="437">
        <f t="shared" si="172"/>
        <v>3581.4</v>
      </c>
      <c r="S420" s="437">
        <f t="shared" si="172"/>
        <v>3647.89</v>
      </c>
      <c r="T420" s="437">
        <f t="shared" si="166"/>
        <v>169.70256362682144</v>
      </c>
      <c r="U420" s="437">
        <f t="shared" si="167"/>
        <v>101.85653654995252</v>
      </c>
      <c r="V420" s="78"/>
      <c r="W420" s="78"/>
      <c r="X420" s="78"/>
      <c r="Y420" s="78"/>
      <c r="Z420" s="78"/>
      <c r="AA420" s="78"/>
      <c r="AB420" s="78"/>
    </row>
    <row r="421" spans="1:28" s="75" customFormat="1" ht="21.75" customHeight="1">
      <c r="A421" s="37" t="s">
        <v>207</v>
      </c>
      <c r="B421" s="37">
        <v>1</v>
      </c>
      <c r="C421" s="37"/>
      <c r="D421" s="37"/>
      <c r="E421" s="37">
        <v>4</v>
      </c>
      <c r="F421" s="37"/>
      <c r="G421" s="37"/>
      <c r="H421" s="37"/>
      <c r="I421" s="37"/>
      <c r="J421" s="37">
        <v>560</v>
      </c>
      <c r="K421" s="42">
        <v>3227</v>
      </c>
      <c r="L421" s="88" t="s">
        <v>90</v>
      </c>
      <c r="M421" s="422">
        <f>3735/7.5345</f>
        <v>495.71968942862827</v>
      </c>
      <c r="N421" s="422">
        <f>3734.64/7.5345</f>
        <v>495.671909217599</v>
      </c>
      <c r="O421" s="422">
        <v>3734.64</v>
      </c>
      <c r="P421" s="422">
        <f>3734.64/7.5345</f>
        <v>495.671909217599</v>
      </c>
      <c r="Q421" s="422">
        <v>728.66</v>
      </c>
      <c r="R421" s="422">
        <v>755.28</v>
      </c>
      <c r="S421" s="422">
        <v>755.28</v>
      </c>
      <c r="T421" s="437">
        <f t="shared" si="166"/>
        <v>152.36029879518074</v>
      </c>
      <c r="U421" s="437">
        <f t="shared" si="167"/>
        <v>100</v>
      </c>
      <c r="V421" s="78"/>
      <c r="W421" s="78"/>
      <c r="X421" s="78"/>
      <c r="Y421" s="78"/>
      <c r="Z421" s="78"/>
      <c r="AA421" s="78"/>
      <c r="AB421" s="78"/>
    </row>
    <row r="422" spans="1:28" s="75" customFormat="1" ht="23.25" customHeight="1">
      <c r="A422" s="37" t="s">
        <v>207</v>
      </c>
      <c r="B422" s="37">
        <v>1</v>
      </c>
      <c r="C422" s="37"/>
      <c r="D422" s="37"/>
      <c r="E422" s="37">
        <v>4</v>
      </c>
      <c r="F422" s="37"/>
      <c r="G422" s="37"/>
      <c r="H422" s="37"/>
      <c r="I422" s="37"/>
      <c r="J422" s="37">
        <v>560</v>
      </c>
      <c r="K422" s="90">
        <v>3221</v>
      </c>
      <c r="L422" s="92" t="s">
        <v>91</v>
      </c>
      <c r="M422" s="422">
        <f>5769/7.5345</f>
        <v>765.6778817439777</v>
      </c>
      <c r="N422" s="422">
        <v>0</v>
      </c>
      <c r="O422" s="422"/>
      <c r="P422" s="422"/>
      <c r="Q422" s="422">
        <v>976</v>
      </c>
      <c r="R422" s="422">
        <f>2251.07+10.36</f>
        <v>2261.4300000000003</v>
      </c>
      <c r="S422" s="422">
        <v>2267.93</v>
      </c>
      <c r="T422" s="437">
        <f t="shared" si="166"/>
        <v>296.19897009880395</v>
      </c>
      <c r="U422" s="437">
        <f t="shared" si="167"/>
        <v>100.28742875083464</v>
      </c>
      <c r="V422" s="78"/>
      <c r="W422" s="78"/>
      <c r="X422" s="78"/>
      <c r="Y422" s="78"/>
      <c r="Z422" s="78"/>
      <c r="AA422" s="78"/>
      <c r="AB422" s="78"/>
    </row>
    <row r="423" spans="1:28" s="75" customFormat="1" ht="23.25" customHeight="1">
      <c r="A423" s="37" t="s">
        <v>207</v>
      </c>
      <c r="B423" s="37">
        <v>1</v>
      </c>
      <c r="C423" s="37"/>
      <c r="D423" s="37"/>
      <c r="E423" s="37">
        <v>4</v>
      </c>
      <c r="F423" s="37"/>
      <c r="G423" s="37"/>
      <c r="H423" s="37"/>
      <c r="I423" s="37"/>
      <c r="J423" s="37">
        <v>560</v>
      </c>
      <c r="K423" s="90">
        <v>3223</v>
      </c>
      <c r="L423" s="92" t="s">
        <v>63</v>
      </c>
      <c r="M423" s="422">
        <f>6692/7.5345</f>
        <v>888.1810339106775</v>
      </c>
      <c r="N423" s="422">
        <f>2453/7.5345</f>
        <v>325.5690490410777</v>
      </c>
      <c r="O423" s="422">
        <v>2453</v>
      </c>
      <c r="P423" s="422">
        <f>2453/7.5345</f>
        <v>325.5690490410777</v>
      </c>
      <c r="Q423" s="422">
        <v>284.25</v>
      </c>
      <c r="R423" s="422">
        <v>564.69</v>
      </c>
      <c r="S423" s="422">
        <v>624.68</v>
      </c>
      <c r="T423" s="437">
        <f t="shared" si="166"/>
        <v>70.33250836820085</v>
      </c>
      <c r="U423" s="437">
        <f t="shared" si="167"/>
        <v>110.62352795339035</v>
      </c>
      <c r="V423" s="78"/>
      <c r="W423" s="78"/>
      <c r="X423" s="78"/>
      <c r="Y423" s="78"/>
      <c r="Z423" s="78"/>
      <c r="AA423" s="78"/>
      <c r="AB423" s="78"/>
    </row>
    <row r="424" spans="1:28" s="75" customFormat="1" ht="24.75" customHeight="1">
      <c r="A424" s="37" t="s">
        <v>207</v>
      </c>
      <c r="B424" s="37">
        <v>1</v>
      </c>
      <c r="C424" s="37"/>
      <c r="D424" s="37"/>
      <c r="E424" s="37">
        <v>4</v>
      </c>
      <c r="F424" s="37"/>
      <c r="G424" s="37"/>
      <c r="H424" s="37"/>
      <c r="I424" s="37"/>
      <c r="J424" s="37">
        <v>560</v>
      </c>
      <c r="K424" s="90">
        <v>3225</v>
      </c>
      <c r="L424" s="92" t="s">
        <v>117</v>
      </c>
      <c r="M424" s="422"/>
      <c r="N424" s="422">
        <v>0</v>
      </c>
      <c r="O424" s="422"/>
      <c r="P424" s="422"/>
      <c r="Q424" s="422"/>
      <c r="R424" s="422"/>
      <c r="S424" s="422"/>
      <c r="T424" s="437" t="e">
        <f t="shared" si="166"/>
        <v>#DIV/0!</v>
      </c>
      <c r="U424" s="437" t="e">
        <f t="shared" si="167"/>
        <v>#DIV/0!</v>
      </c>
      <c r="V424" s="78"/>
      <c r="W424" s="78"/>
      <c r="X424" s="78"/>
      <c r="Y424" s="78"/>
      <c r="Z424" s="78"/>
      <c r="AA424" s="78"/>
      <c r="AB424" s="78"/>
    </row>
    <row r="425" spans="1:28" s="75" customFormat="1" ht="18" customHeight="1">
      <c r="A425" s="37" t="s">
        <v>207</v>
      </c>
      <c r="B425" s="37">
        <v>1</v>
      </c>
      <c r="C425" s="37"/>
      <c r="D425" s="37"/>
      <c r="E425" s="37">
        <v>4</v>
      </c>
      <c r="F425" s="37"/>
      <c r="G425" s="37"/>
      <c r="H425" s="37"/>
      <c r="I425" s="37"/>
      <c r="J425" s="37">
        <v>560</v>
      </c>
      <c r="K425" s="283">
        <v>323</v>
      </c>
      <c r="L425" s="284" t="s">
        <v>7</v>
      </c>
      <c r="M425" s="422">
        <f aca="true" t="shared" si="173" ref="M425:S425">M427+M428</f>
        <v>169.88519477072134</v>
      </c>
      <c r="N425" s="422">
        <f t="shared" si="173"/>
        <v>169.88519477072134</v>
      </c>
      <c r="O425" s="437">
        <f t="shared" si="173"/>
        <v>1280</v>
      </c>
      <c r="P425" s="437">
        <f t="shared" si="173"/>
        <v>169.88519477072134</v>
      </c>
      <c r="Q425" s="437">
        <f t="shared" si="173"/>
        <v>276.06</v>
      </c>
      <c r="R425" s="437">
        <f t="shared" si="173"/>
        <v>588.56</v>
      </c>
      <c r="S425" s="437">
        <f t="shared" si="173"/>
        <v>901.06</v>
      </c>
      <c r="T425" s="437">
        <f t="shared" si="166"/>
        <v>530.39348203125</v>
      </c>
      <c r="U425" s="437">
        <f t="shared" si="167"/>
        <v>153.09569117846948</v>
      </c>
      <c r="V425" s="78"/>
      <c r="W425" s="78"/>
      <c r="X425" s="78"/>
      <c r="Y425" s="78"/>
      <c r="Z425" s="78"/>
      <c r="AA425" s="78"/>
      <c r="AB425" s="78"/>
    </row>
    <row r="426" spans="1:28" s="75" customFormat="1" ht="23.25" customHeight="1">
      <c r="A426" s="37" t="s">
        <v>207</v>
      </c>
      <c r="B426" s="37">
        <v>1</v>
      </c>
      <c r="C426" s="37"/>
      <c r="D426" s="37"/>
      <c r="E426" s="37">
        <v>4</v>
      </c>
      <c r="F426" s="37"/>
      <c r="G426" s="37">
        <v>5</v>
      </c>
      <c r="H426" s="37"/>
      <c r="I426" s="37"/>
      <c r="J426" s="37">
        <v>560</v>
      </c>
      <c r="K426" s="90">
        <v>3231</v>
      </c>
      <c r="L426" s="92" t="s">
        <v>125</v>
      </c>
      <c r="M426" s="422"/>
      <c r="N426" s="422"/>
      <c r="O426" s="435"/>
      <c r="P426" s="422"/>
      <c r="Q426" s="422"/>
      <c r="R426" s="422"/>
      <c r="S426" s="422"/>
      <c r="T426" s="437" t="e">
        <f t="shared" si="166"/>
        <v>#DIV/0!</v>
      </c>
      <c r="U426" s="437" t="e">
        <f t="shared" si="167"/>
        <v>#DIV/0!</v>
      </c>
      <c r="V426" s="78"/>
      <c r="W426" s="78"/>
      <c r="X426" s="78"/>
      <c r="Y426" s="78"/>
      <c r="Z426" s="78"/>
      <c r="AA426" s="78"/>
      <c r="AB426" s="78"/>
    </row>
    <row r="427" spans="1:28" s="75" customFormat="1" ht="22.5" customHeight="1">
      <c r="A427" s="37" t="s">
        <v>207</v>
      </c>
      <c r="B427" s="37">
        <v>1</v>
      </c>
      <c r="C427" s="37"/>
      <c r="D427" s="37"/>
      <c r="E427" s="37">
        <v>4</v>
      </c>
      <c r="F427" s="37"/>
      <c r="G427" s="37"/>
      <c r="H427" s="37"/>
      <c r="I427" s="37"/>
      <c r="J427" s="37">
        <v>560</v>
      </c>
      <c r="K427" s="42">
        <v>3236</v>
      </c>
      <c r="L427" s="87" t="s">
        <v>92</v>
      </c>
      <c r="M427" s="422">
        <f>1280/7.5345</f>
        <v>169.88519477072134</v>
      </c>
      <c r="N427" s="422">
        <f>1280/7.5345</f>
        <v>169.88519477072134</v>
      </c>
      <c r="O427" s="422">
        <v>1280</v>
      </c>
      <c r="P427" s="422">
        <f>1280/7.5345</f>
        <v>169.88519477072134</v>
      </c>
      <c r="Q427" s="422">
        <v>276.06</v>
      </c>
      <c r="R427" s="422">
        <v>276.06</v>
      </c>
      <c r="S427" s="422">
        <v>276.06</v>
      </c>
      <c r="T427" s="437">
        <f t="shared" si="166"/>
        <v>162.49797421875002</v>
      </c>
      <c r="U427" s="437">
        <f t="shared" si="167"/>
        <v>100</v>
      </c>
      <c r="V427" s="78"/>
      <c r="W427" s="78"/>
      <c r="X427" s="78"/>
      <c r="Y427" s="78"/>
      <c r="Z427" s="78"/>
      <c r="AA427" s="78"/>
      <c r="AB427" s="78"/>
    </row>
    <row r="428" spans="1:28" s="75" customFormat="1" ht="22.5" customHeight="1">
      <c r="A428" s="37" t="s">
        <v>207</v>
      </c>
      <c r="B428" s="37">
        <v>1</v>
      </c>
      <c r="C428" s="37"/>
      <c r="D428" s="37"/>
      <c r="E428" s="37">
        <v>4</v>
      </c>
      <c r="F428" s="37"/>
      <c r="G428" s="37"/>
      <c r="H428" s="37"/>
      <c r="I428" s="37"/>
      <c r="J428" s="37">
        <v>560</v>
      </c>
      <c r="K428" s="42">
        <v>3237</v>
      </c>
      <c r="L428" s="87" t="s">
        <v>107</v>
      </c>
      <c r="M428" s="422"/>
      <c r="N428" s="422">
        <v>0</v>
      </c>
      <c r="O428" s="422"/>
      <c r="P428" s="422"/>
      <c r="Q428" s="422"/>
      <c r="R428" s="422">
        <v>312.5</v>
      </c>
      <c r="S428" s="422">
        <v>625</v>
      </c>
      <c r="T428" s="437" t="e">
        <f t="shared" si="166"/>
        <v>#DIV/0!</v>
      </c>
      <c r="U428" s="437">
        <f t="shared" si="167"/>
        <v>200</v>
      </c>
      <c r="V428" s="78"/>
      <c r="W428" s="78"/>
      <c r="X428" s="78"/>
      <c r="Y428" s="78"/>
      <c r="Z428" s="78"/>
      <c r="AA428" s="78"/>
      <c r="AB428" s="78"/>
    </row>
    <row r="429" spans="1:36" s="44" customFormat="1" ht="29.25" customHeight="1" hidden="1">
      <c r="A429" s="17" t="s">
        <v>207</v>
      </c>
      <c r="B429" s="16">
        <v>1</v>
      </c>
      <c r="C429" s="16"/>
      <c r="D429" s="16"/>
      <c r="E429" s="16">
        <v>4</v>
      </c>
      <c r="F429" s="16"/>
      <c r="G429" s="16"/>
      <c r="H429" s="16"/>
      <c r="I429" s="16"/>
      <c r="J429" s="16">
        <v>560</v>
      </c>
      <c r="K429" s="29">
        <v>4</v>
      </c>
      <c r="L429" s="56" t="s">
        <v>1</v>
      </c>
      <c r="M429" s="422"/>
      <c r="N429" s="422"/>
      <c r="O429" s="455"/>
      <c r="P429" s="455"/>
      <c r="Q429" s="455"/>
      <c r="R429" s="455"/>
      <c r="S429" s="455"/>
      <c r="T429" s="437" t="e">
        <f t="shared" si="166"/>
        <v>#DIV/0!</v>
      </c>
      <c r="U429" s="437" t="e">
        <f t="shared" si="167"/>
        <v>#DIV/0!</v>
      </c>
      <c r="V429" s="78"/>
      <c r="W429" s="78"/>
      <c r="X429" s="78"/>
      <c r="Y429" s="78"/>
      <c r="Z429" s="78"/>
      <c r="AA429" s="78"/>
      <c r="AB429" s="78"/>
      <c r="AC429" s="75"/>
      <c r="AD429" s="75"/>
      <c r="AE429" s="75"/>
      <c r="AF429" s="75"/>
      <c r="AG429" s="75"/>
      <c r="AH429" s="75"/>
      <c r="AI429" s="75"/>
      <c r="AJ429" s="75"/>
    </row>
    <row r="430" spans="1:36" s="44" customFormat="1" ht="24" customHeight="1" hidden="1">
      <c r="A430" s="17" t="s">
        <v>207</v>
      </c>
      <c r="B430" s="16">
        <v>1</v>
      </c>
      <c r="C430" s="16"/>
      <c r="D430" s="16"/>
      <c r="E430" s="16">
        <v>4</v>
      </c>
      <c r="F430" s="16"/>
      <c r="G430" s="16"/>
      <c r="H430" s="16"/>
      <c r="I430" s="16"/>
      <c r="J430" s="16">
        <v>560</v>
      </c>
      <c r="K430" s="29">
        <v>42</v>
      </c>
      <c r="L430" s="57" t="s">
        <v>118</v>
      </c>
      <c r="M430" s="422"/>
      <c r="N430" s="422"/>
      <c r="O430" s="455"/>
      <c r="P430" s="455"/>
      <c r="Q430" s="455"/>
      <c r="R430" s="455"/>
      <c r="S430" s="455"/>
      <c r="T430" s="437" t="e">
        <f t="shared" si="166"/>
        <v>#DIV/0!</v>
      </c>
      <c r="U430" s="437" t="e">
        <f t="shared" si="167"/>
        <v>#DIV/0!</v>
      </c>
      <c r="V430" s="78"/>
      <c r="W430" s="78"/>
      <c r="X430" s="78"/>
      <c r="Y430" s="78"/>
      <c r="Z430" s="78"/>
      <c r="AA430" s="78"/>
      <c r="AB430" s="78"/>
      <c r="AC430" s="75"/>
      <c r="AD430" s="75"/>
      <c r="AE430" s="75"/>
      <c r="AF430" s="75"/>
      <c r="AG430" s="75"/>
      <c r="AH430" s="75"/>
      <c r="AI430" s="75"/>
      <c r="AJ430" s="75"/>
    </row>
    <row r="431" spans="1:36" s="44" customFormat="1" ht="19.5" customHeight="1" hidden="1">
      <c r="A431" s="17" t="s">
        <v>207</v>
      </c>
      <c r="B431" s="16">
        <v>1</v>
      </c>
      <c r="C431" s="16"/>
      <c r="D431" s="16"/>
      <c r="E431" s="16">
        <v>4</v>
      </c>
      <c r="F431" s="16"/>
      <c r="G431" s="16"/>
      <c r="H431" s="16"/>
      <c r="I431" s="16"/>
      <c r="J431" s="16">
        <v>560</v>
      </c>
      <c r="K431" s="40">
        <v>422</v>
      </c>
      <c r="L431" s="63" t="s">
        <v>14</v>
      </c>
      <c r="M431" s="423"/>
      <c r="N431" s="423"/>
      <c r="O431" s="471"/>
      <c r="P431" s="471"/>
      <c r="Q431" s="471"/>
      <c r="R431" s="471"/>
      <c r="S431" s="471"/>
      <c r="T431" s="437" t="e">
        <f t="shared" si="166"/>
        <v>#DIV/0!</v>
      </c>
      <c r="U431" s="437" t="e">
        <f t="shared" si="167"/>
        <v>#DIV/0!</v>
      </c>
      <c r="V431" s="78"/>
      <c r="W431" s="78"/>
      <c r="X431" s="78"/>
      <c r="Y431" s="78"/>
      <c r="Z431" s="78"/>
      <c r="AA431" s="78"/>
      <c r="AB431" s="78"/>
      <c r="AC431" s="75"/>
      <c r="AD431" s="75"/>
      <c r="AE431" s="75"/>
      <c r="AF431" s="75"/>
      <c r="AG431" s="75"/>
      <c r="AH431" s="75"/>
      <c r="AI431" s="75"/>
      <c r="AJ431" s="75"/>
    </row>
    <row r="432" spans="1:36" s="44" customFormat="1" ht="18.75" customHeight="1" hidden="1">
      <c r="A432" s="17" t="s">
        <v>207</v>
      </c>
      <c r="B432" s="16">
        <v>1</v>
      </c>
      <c r="C432" s="16"/>
      <c r="D432" s="16"/>
      <c r="E432" s="16">
        <v>4</v>
      </c>
      <c r="F432" s="16"/>
      <c r="G432" s="16"/>
      <c r="H432" s="16"/>
      <c r="I432" s="16"/>
      <c r="J432" s="16">
        <v>560</v>
      </c>
      <c r="K432" s="39">
        <v>4227</v>
      </c>
      <c r="L432" s="233" t="s">
        <v>119</v>
      </c>
      <c r="M432" s="423"/>
      <c r="N432" s="423"/>
      <c r="O432" s="471"/>
      <c r="P432" s="471"/>
      <c r="Q432" s="471"/>
      <c r="R432" s="471"/>
      <c r="S432" s="471"/>
      <c r="T432" s="437" t="e">
        <f t="shared" si="166"/>
        <v>#DIV/0!</v>
      </c>
      <c r="U432" s="437" t="e">
        <f t="shared" si="167"/>
        <v>#DIV/0!</v>
      </c>
      <c r="V432" s="78"/>
      <c r="W432" s="78"/>
      <c r="X432" s="78"/>
      <c r="Y432" s="78"/>
      <c r="Z432" s="78"/>
      <c r="AA432" s="78"/>
      <c r="AB432" s="78"/>
      <c r="AC432" s="75"/>
      <c r="AD432" s="75"/>
      <c r="AE432" s="75"/>
      <c r="AF432" s="75"/>
      <c r="AG432" s="75"/>
      <c r="AH432" s="75"/>
      <c r="AI432" s="75"/>
      <c r="AJ432" s="75"/>
    </row>
    <row r="433" spans="1:36" s="128" customFormat="1" ht="15.75">
      <c r="A433" s="125"/>
      <c r="B433" s="125"/>
      <c r="C433" s="125"/>
      <c r="D433" s="125"/>
      <c r="E433" s="125"/>
      <c r="F433" s="125"/>
      <c r="G433" s="125"/>
      <c r="H433" s="125"/>
      <c r="I433" s="125"/>
      <c r="J433" s="125"/>
      <c r="K433" s="126"/>
      <c r="L433" s="127" t="s">
        <v>86</v>
      </c>
      <c r="M433" s="431">
        <f aca="true" t="shared" si="174" ref="M433:S433">M410</f>
        <v>20533.811135443626</v>
      </c>
      <c r="N433" s="431">
        <f t="shared" si="174"/>
        <v>19276.166965292985</v>
      </c>
      <c r="O433" s="431">
        <f t="shared" si="174"/>
        <v>145236.28</v>
      </c>
      <c r="P433" s="431">
        <f t="shared" si="174"/>
        <v>19276.166965292985</v>
      </c>
      <c r="Q433" s="431">
        <f t="shared" si="174"/>
        <v>2264.97</v>
      </c>
      <c r="R433" s="431">
        <f t="shared" si="174"/>
        <v>20124.050000000003</v>
      </c>
      <c r="S433" s="431">
        <f t="shared" si="174"/>
        <v>20503.04</v>
      </c>
      <c r="T433" s="421">
        <f t="shared" si="166"/>
        <v>99.85014406122343</v>
      </c>
      <c r="U433" s="421">
        <f t="shared" si="167"/>
        <v>101.8832690238794</v>
      </c>
      <c r="V433" s="78"/>
      <c r="W433" s="78"/>
      <c r="X433" s="78"/>
      <c r="Y433" s="78"/>
      <c r="Z433" s="78"/>
      <c r="AA433" s="78"/>
      <c r="AB433" s="78"/>
      <c r="AC433" s="75"/>
      <c r="AD433" s="75"/>
      <c r="AE433" s="75"/>
      <c r="AF433" s="75"/>
      <c r="AG433" s="75"/>
      <c r="AH433" s="75"/>
      <c r="AI433" s="75"/>
      <c r="AJ433" s="75"/>
    </row>
    <row r="434" spans="1:36" s="46" customFormat="1" ht="15.75">
      <c r="A434" s="19"/>
      <c r="B434" s="19"/>
      <c r="C434" s="19"/>
      <c r="D434" s="19"/>
      <c r="E434" s="19"/>
      <c r="F434" s="19"/>
      <c r="G434" s="19"/>
      <c r="H434" s="19"/>
      <c r="I434" s="19"/>
      <c r="J434" s="19"/>
      <c r="K434" s="13"/>
      <c r="L434" s="53"/>
      <c r="M434" s="429"/>
      <c r="N434" s="429"/>
      <c r="O434" s="429"/>
      <c r="P434" s="429"/>
      <c r="Q434" s="429"/>
      <c r="R434" s="429"/>
      <c r="S434" s="429"/>
      <c r="T434" s="429"/>
      <c r="U434" s="429"/>
      <c r="V434" s="78"/>
      <c r="W434" s="78"/>
      <c r="X434" s="78"/>
      <c r="Y434" s="78"/>
      <c r="Z434" s="78"/>
      <c r="AA434" s="78"/>
      <c r="AB434" s="78"/>
      <c r="AC434" s="78"/>
      <c r="AD434" s="78"/>
      <c r="AE434" s="78"/>
      <c r="AF434" s="78"/>
      <c r="AG434" s="78"/>
      <c r="AH434" s="78"/>
      <c r="AI434" s="78"/>
      <c r="AJ434" s="78"/>
    </row>
    <row r="435" spans="1:36" s="44" customFormat="1" ht="15">
      <c r="A435" s="79" t="s">
        <v>210</v>
      </c>
      <c r="B435" s="79"/>
      <c r="C435" s="79"/>
      <c r="D435" s="79"/>
      <c r="E435" s="79"/>
      <c r="F435" s="79"/>
      <c r="G435" s="79"/>
      <c r="H435" s="79"/>
      <c r="I435" s="79"/>
      <c r="J435" s="79"/>
      <c r="K435" s="41" t="s">
        <v>209</v>
      </c>
      <c r="L435" s="616" t="s">
        <v>514</v>
      </c>
      <c r="M435" s="430"/>
      <c r="N435" s="430"/>
      <c r="O435" s="430"/>
      <c r="P435" s="430"/>
      <c r="Q435" s="430"/>
      <c r="R435" s="430"/>
      <c r="S435" s="430"/>
      <c r="T435" s="430"/>
      <c r="U435" s="430"/>
      <c r="V435" s="78"/>
      <c r="W435" s="78"/>
      <c r="X435" s="78"/>
      <c r="Y435" s="78"/>
      <c r="Z435" s="78"/>
      <c r="AA435" s="78"/>
      <c r="AB435" s="78"/>
      <c r="AC435" s="75"/>
      <c r="AD435" s="75"/>
      <c r="AE435" s="75"/>
      <c r="AF435" s="75"/>
      <c r="AG435" s="75"/>
      <c r="AH435" s="75"/>
      <c r="AI435" s="75"/>
      <c r="AJ435" s="75"/>
    </row>
    <row r="436" spans="1:36" s="44" customFormat="1" ht="30.75" customHeight="1">
      <c r="A436" s="79" t="s">
        <v>585</v>
      </c>
      <c r="B436" s="79"/>
      <c r="C436" s="79"/>
      <c r="D436" s="79"/>
      <c r="E436" s="79"/>
      <c r="F436" s="79"/>
      <c r="G436" s="79"/>
      <c r="H436" s="79"/>
      <c r="I436" s="79"/>
      <c r="J436" s="79">
        <v>640</v>
      </c>
      <c r="K436" s="41" t="s">
        <v>25</v>
      </c>
      <c r="L436" s="623"/>
      <c r="M436" s="430"/>
      <c r="N436" s="430"/>
      <c r="O436" s="430"/>
      <c r="P436" s="430"/>
      <c r="Q436" s="430"/>
      <c r="R436" s="430"/>
      <c r="S436" s="430"/>
      <c r="T436" s="430"/>
      <c r="U436" s="430"/>
      <c r="V436" s="78"/>
      <c r="W436" s="78"/>
      <c r="X436" s="78"/>
      <c r="Y436" s="78"/>
      <c r="Z436" s="78"/>
      <c r="AA436" s="78"/>
      <c r="AB436" s="78"/>
      <c r="AC436" s="75"/>
      <c r="AD436" s="75"/>
      <c r="AE436" s="75"/>
      <c r="AF436" s="75"/>
      <c r="AG436" s="75"/>
      <c r="AH436" s="75"/>
      <c r="AI436" s="75"/>
      <c r="AJ436" s="75"/>
    </row>
    <row r="437" spans="1:28" s="75" customFormat="1" ht="15.75">
      <c r="A437" s="37" t="s">
        <v>585</v>
      </c>
      <c r="B437" s="37">
        <v>1</v>
      </c>
      <c r="C437" s="37"/>
      <c r="D437" s="37">
        <v>3</v>
      </c>
      <c r="E437" s="37"/>
      <c r="F437" s="37"/>
      <c r="G437" s="37"/>
      <c r="H437" s="37"/>
      <c r="I437" s="37"/>
      <c r="J437" s="37">
        <v>640</v>
      </c>
      <c r="K437" s="272">
        <v>3</v>
      </c>
      <c r="L437" s="273" t="s">
        <v>0</v>
      </c>
      <c r="M437" s="422">
        <f aca="true" t="shared" si="175" ref="M437:S437">M438</f>
        <v>66782.40095560421</v>
      </c>
      <c r="N437" s="422">
        <f t="shared" si="175"/>
        <v>89008.62390426561</v>
      </c>
      <c r="O437" s="437">
        <f t="shared" si="175"/>
        <v>895000</v>
      </c>
      <c r="P437" s="437">
        <f t="shared" si="175"/>
        <v>118786.91353109031</v>
      </c>
      <c r="Q437" s="437">
        <f t="shared" si="175"/>
        <v>59112.51</v>
      </c>
      <c r="R437" s="437">
        <f t="shared" si="175"/>
        <v>127587.09</v>
      </c>
      <c r="S437" s="437">
        <f t="shared" si="175"/>
        <v>119732.47</v>
      </c>
      <c r="T437" s="437">
        <f>S437/M437*100</f>
        <v>179.28745940056285</v>
      </c>
      <c r="U437" s="437">
        <f>S437/R437*100</f>
        <v>93.84371882766509</v>
      </c>
      <c r="V437" s="78"/>
      <c r="W437" s="78"/>
      <c r="X437" s="78"/>
      <c r="Y437" s="78"/>
      <c r="Z437" s="78"/>
      <c r="AA437" s="78"/>
      <c r="AB437" s="78"/>
    </row>
    <row r="438" spans="1:28" s="75" customFormat="1" ht="15">
      <c r="A438" s="37" t="s">
        <v>585</v>
      </c>
      <c r="B438" s="37">
        <v>1</v>
      </c>
      <c r="C438" s="37"/>
      <c r="D438" s="37">
        <v>3</v>
      </c>
      <c r="E438" s="37"/>
      <c r="F438" s="37"/>
      <c r="G438" s="37"/>
      <c r="H438" s="37"/>
      <c r="I438" s="37"/>
      <c r="J438" s="37">
        <v>640</v>
      </c>
      <c r="K438" s="274">
        <v>32</v>
      </c>
      <c r="L438" s="278" t="s">
        <v>5</v>
      </c>
      <c r="M438" s="422">
        <f aca="true" t="shared" si="176" ref="M438:S438">M439+M441</f>
        <v>66782.40095560421</v>
      </c>
      <c r="N438" s="422">
        <f t="shared" si="176"/>
        <v>89008.62390426561</v>
      </c>
      <c r="O438" s="437">
        <f t="shared" si="176"/>
        <v>895000</v>
      </c>
      <c r="P438" s="437">
        <f t="shared" si="176"/>
        <v>118786.91353109031</v>
      </c>
      <c r="Q438" s="437">
        <f t="shared" si="176"/>
        <v>59112.51</v>
      </c>
      <c r="R438" s="437">
        <f t="shared" si="176"/>
        <v>127587.09</v>
      </c>
      <c r="S438" s="437">
        <f t="shared" si="176"/>
        <v>119732.47</v>
      </c>
      <c r="T438" s="437">
        <f aca="true" t="shared" si="177" ref="T438:T448">S438/M438*100</f>
        <v>179.28745940056285</v>
      </c>
      <c r="U438" s="437">
        <f aca="true" t="shared" si="178" ref="U438:U448">S438/R438*100</f>
        <v>93.84371882766509</v>
      </c>
      <c r="V438" s="78"/>
      <c r="W438" s="78"/>
      <c r="X438" s="78"/>
      <c r="Y438" s="78"/>
      <c r="Z438" s="78"/>
      <c r="AA438" s="78"/>
      <c r="AB438" s="78"/>
    </row>
    <row r="439" spans="1:28" s="75" customFormat="1" ht="24.75" customHeight="1">
      <c r="A439" s="37" t="s">
        <v>585</v>
      </c>
      <c r="B439" s="37">
        <v>1</v>
      </c>
      <c r="C439" s="37"/>
      <c r="D439" s="37">
        <v>3</v>
      </c>
      <c r="E439" s="37"/>
      <c r="F439" s="37"/>
      <c r="G439" s="37"/>
      <c r="H439" s="37"/>
      <c r="I439" s="37"/>
      <c r="J439" s="37">
        <v>620</v>
      </c>
      <c r="K439" s="272">
        <v>322</v>
      </c>
      <c r="L439" s="273" t="s">
        <v>26</v>
      </c>
      <c r="M439" s="422">
        <f aca="true" t="shared" si="179" ref="M439:S439">M440</f>
        <v>46146.924148914986</v>
      </c>
      <c r="N439" s="437">
        <f t="shared" si="179"/>
        <v>86269.82546950693</v>
      </c>
      <c r="O439" s="437">
        <f t="shared" si="179"/>
        <v>650000</v>
      </c>
      <c r="P439" s="437">
        <f t="shared" si="179"/>
        <v>86269.82546950693</v>
      </c>
      <c r="Q439" s="437">
        <f t="shared" si="179"/>
        <v>47012.44</v>
      </c>
      <c r="R439" s="437">
        <f t="shared" si="179"/>
        <v>95070</v>
      </c>
      <c r="S439" s="437">
        <f t="shared" si="179"/>
        <v>96255.93</v>
      </c>
      <c r="T439" s="437">
        <f t="shared" si="177"/>
        <v>208.5857980249875</v>
      </c>
      <c r="U439" s="437">
        <f t="shared" si="178"/>
        <v>101.24742821079205</v>
      </c>
      <c r="V439" s="78"/>
      <c r="W439" s="78"/>
      <c r="X439" s="78"/>
      <c r="Y439" s="78"/>
      <c r="Z439" s="78"/>
      <c r="AA439" s="78"/>
      <c r="AB439" s="78"/>
    </row>
    <row r="440" spans="1:28" s="75" customFormat="1" ht="23.25" customHeight="1">
      <c r="A440" s="37" t="s">
        <v>585</v>
      </c>
      <c r="B440" s="37">
        <v>1</v>
      </c>
      <c r="C440" s="37"/>
      <c r="D440" s="37">
        <v>3</v>
      </c>
      <c r="E440" s="37"/>
      <c r="F440" s="37"/>
      <c r="G440" s="37"/>
      <c r="H440" s="37"/>
      <c r="I440" s="37"/>
      <c r="J440" s="37">
        <v>620</v>
      </c>
      <c r="K440" s="42">
        <v>3223</v>
      </c>
      <c r="L440" s="339" t="s">
        <v>63</v>
      </c>
      <c r="M440" s="422">
        <f>347694/7.5345</f>
        <v>46146.924148914986</v>
      </c>
      <c r="N440" s="422">
        <f>650000/7.5345</f>
        <v>86269.82546950693</v>
      </c>
      <c r="O440" s="422">
        <v>650000</v>
      </c>
      <c r="P440" s="422">
        <f>650000/7.5345</f>
        <v>86269.82546950693</v>
      </c>
      <c r="Q440" s="422">
        <f>47004.19+8.25</f>
        <v>47012.44</v>
      </c>
      <c r="R440" s="422">
        <v>95070</v>
      </c>
      <c r="S440" s="422">
        <f>95722.79+533.14</f>
        <v>96255.93</v>
      </c>
      <c r="T440" s="437">
        <f t="shared" si="177"/>
        <v>208.5857980249875</v>
      </c>
      <c r="U440" s="437">
        <f t="shared" si="178"/>
        <v>101.24742821079205</v>
      </c>
      <c r="V440" s="78"/>
      <c r="W440" s="78"/>
      <c r="X440" s="78"/>
      <c r="Y440" s="78"/>
      <c r="Z440" s="78"/>
      <c r="AA440" s="78"/>
      <c r="AB440" s="78"/>
    </row>
    <row r="441" spans="1:28" s="75" customFormat="1" ht="28.5" customHeight="1">
      <c r="A441" s="37" t="s">
        <v>585</v>
      </c>
      <c r="B441" s="37">
        <v>1</v>
      </c>
      <c r="C441" s="37"/>
      <c r="D441" s="37">
        <v>3</v>
      </c>
      <c r="E441" s="37"/>
      <c r="F441" s="37"/>
      <c r="G441" s="37"/>
      <c r="H441" s="37"/>
      <c r="I441" s="37"/>
      <c r="J441" s="37">
        <v>640</v>
      </c>
      <c r="K441" s="272">
        <v>323</v>
      </c>
      <c r="L441" s="273" t="s">
        <v>7</v>
      </c>
      <c r="M441" s="422">
        <f aca="true" t="shared" si="180" ref="M441:S441">M442</f>
        <v>20635.47680668923</v>
      </c>
      <c r="N441" s="437">
        <f t="shared" si="180"/>
        <v>2738.798434758674</v>
      </c>
      <c r="O441" s="437">
        <f t="shared" si="180"/>
        <v>245000</v>
      </c>
      <c r="P441" s="437">
        <f t="shared" si="180"/>
        <v>32517.08806158338</v>
      </c>
      <c r="Q441" s="437">
        <f t="shared" si="180"/>
        <v>12100.07</v>
      </c>
      <c r="R441" s="437">
        <f t="shared" si="180"/>
        <v>32517.09</v>
      </c>
      <c r="S441" s="437">
        <f t="shared" si="180"/>
        <v>23476.54</v>
      </c>
      <c r="T441" s="437">
        <f t="shared" si="177"/>
        <v>113.76785823717826</v>
      </c>
      <c r="U441" s="437">
        <f t="shared" si="178"/>
        <v>72.19754289206077</v>
      </c>
      <c r="V441" s="78"/>
      <c r="W441" s="78"/>
      <c r="X441" s="78"/>
      <c r="Y441" s="78"/>
      <c r="Z441" s="78"/>
      <c r="AA441" s="78"/>
      <c r="AB441" s="78"/>
    </row>
    <row r="442" spans="1:28" s="75" customFormat="1" ht="23.25" customHeight="1">
      <c r="A442" s="37" t="s">
        <v>585</v>
      </c>
      <c r="B442" s="37">
        <v>1</v>
      </c>
      <c r="C442" s="37"/>
      <c r="D442" s="37">
        <v>3</v>
      </c>
      <c r="E442" s="37"/>
      <c r="F442" s="37"/>
      <c r="G442" s="37"/>
      <c r="H442" s="37"/>
      <c r="I442" s="37"/>
      <c r="J442" s="37">
        <v>640</v>
      </c>
      <c r="K442" s="42">
        <v>3232</v>
      </c>
      <c r="L442" s="345" t="s">
        <v>136</v>
      </c>
      <c r="M442" s="422">
        <f>155478/7.5345</f>
        <v>20635.47680668923</v>
      </c>
      <c r="N442" s="422">
        <f>M442/7.5345</f>
        <v>2738.798434758674</v>
      </c>
      <c r="O442" s="422">
        <v>245000</v>
      </c>
      <c r="P442" s="422">
        <f>245000/7.5345</f>
        <v>32517.08806158338</v>
      </c>
      <c r="Q442" s="422">
        <v>12100.07</v>
      </c>
      <c r="R442" s="422">
        <v>32517.09</v>
      </c>
      <c r="S442" s="422">
        <v>23476.54</v>
      </c>
      <c r="T442" s="437">
        <f t="shared" si="177"/>
        <v>113.76785823717826</v>
      </c>
      <c r="U442" s="437">
        <f t="shared" si="178"/>
        <v>72.19754289206077</v>
      </c>
      <c r="V442" s="78"/>
      <c r="W442" s="78"/>
      <c r="X442" s="78"/>
      <c r="Y442" s="78"/>
      <c r="Z442" s="78"/>
      <c r="AA442" s="78"/>
      <c r="AB442" s="78"/>
    </row>
    <row r="443" spans="1:28" s="75" customFormat="1" ht="15.75">
      <c r="A443" s="37" t="s">
        <v>585</v>
      </c>
      <c r="B443" s="37">
        <v>1</v>
      </c>
      <c r="C443" s="37"/>
      <c r="D443" s="37">
        <v>3</v>
      </c>
      <c r="E443" s="37">
        <v>4</v>
      </c>
      <c r="F443" s="37">
        <v>5</v>
      </c>
      <c r="G443" s="37"/>
      <c r="H443" s="37"/>
      <c r="I443" s="37"/>
      <c r="J443" s="37">
        <v>640</v>
      </c>
      <c r="K443" s="272">
        <v>4</v>
      </c>
      <c r="L443" s="334" t="s">
        <v>1</v>
      </c>
      <c r="M443" s="422">
        <f>M444</f>
        <v>78505.27573163447</v>
      </c>
      <c r="N443" s="437">
        <f aca="true" t="shared" si="181" ref="N443:S444">N444</f>
        <v>0</v>
      </c>
      <c r="O443" s="437">
        <f t="shared" si="181"/>
        <v>0</v>
      </c>
      <c r="P443" s="437">
        <f t="shared" si="181"/>
        <v>0</v>
      </c>
      <c r="Q443" s="437">
        <f t="shared" si="181"/>
        <v>0</v>
      </c>
      <c r="R443" s="437">
        <f t="shared" si="181"/>
        <v>0</v>
      </c>
      <c r="S443" s="437">
        <f t="shared" si="181"/>
        <v>0</v>
      </c>
      <c r="T443" s="437">
        <f t="shared" si="177"/>
        <v>0</v>
      </c>
      <c r="U443" s="437" t="e">
        <f t="shared" si="178"/>
        <v>#DIV/0!</v>
      </c>
      <c r="V443" s="78"/>
      <c r="W443" s="78"/>
      <c r="X443" s="78"/>
      <c r="Y443" s="78"/>
      <c r="Z443" s="78"/>
      <c r="AA443" s="78"/>
      <c r="AB443" s="78"/>
    </row>
    <row r="444" spans="1:28" s="75" customFormat="1" ht="14.25" customHeight="1">
      <c r="A444" s="37" t="s">
        <v>585</v>
      </c>
      <c r="B444" s="37">
        <v>1</v>
      </c>
      <c r="C444" s="37"/>
      <c r="D444" s="37">
        <v>3</v>
      </c>
      <c r="E444" s="37">
        <v>4</v>
      </c>
      <c r="F444" s="37">
        <v>5</v>
      </c>
      <c r="G444" s="37"/>
      <c r="H444" s="37"/>
      <c r="I444" s="37"/>
      <c r="J444" s="37">
        <v>640</v>
      </c>
      <c r="K444" s="274">
        <v>45</v>
      </c>
      <c r="L444" s="273" t="s">
        <v>378</v>
      </c>
      <c r="M444" s="422">
        <f>M445</f>
        <v>78505.27573163447</v>
      </c>
      <c r="N444" s="437">
        <f>N445</f>
        <v>0</v>
      </c>
      <c r="O444" s="437">
        <f t="shared" si="181"/>
        <v>0</v>
      </c>
      <c r="P444" s="437">
        <f t="shared" si="181"/>
        <v>0</v>
      </c>
      <c r="Q444" s="437">
        <f t="shared" si="181"/>
        <v>0</v>
      </c>
      <c r="R444" s="437">
        <f t="shared" si="181"/>
        <v>0</v>
      </c>
      <c r="S444" s="437">
        <f t="shared" si="181"/>
        <v>0</v>
      </c>
      <c r="T444" s="437">
        <f t="shared" si="177"/>
        <v>0</v>
      </c>
      <c r="U444" s="437" t="e">
        <f t="shared" si="178"/>
        <v>#DIV/0!</v>
      </c>
      <c r="V444" s="78"/>
      <c r="W444" s="78"/>
      <c r="X444" s="78"/>
      <c r="Y444" s="78"/>
      <c r="Z444" s="78"/>
      <c r="AA444" s="78"/>
      <c r="AB444" s="78"/>
    </row>
    <row r="445" spans="1:28" s="75" customFormat="1" ht="20.25" customHeight="1">
      <c r="A445" s="37" t="s">
        <v>585</v>
      </c>
      <c r="B445" s="37">
        <v>1</v>
      </c>
      <c r="C445" s="37"/>
      <c r="D445" s="37">
        <v>3</v>
      </c>
      <c r="E445" s="37">
        <v>4</v>
      </c>
      <c r="F445" s="37">
        <v>5</v>
      </c>
      <c r="G445" s="37"/>
      <c r="H445" s="37"/>
      <c r="I445" s="37"/>
      <c r="J445" s="37">
        <v>640</v>
      </c>
      <c r="K445" s="35">
        <v>451</v>
      </c>
      <c r="L445" s="370" t="s">
        <v>379</v>
      </c>
      <c r="M445" s="422">
        <f aca="true" t="shared" si="182" ref="M445:S445">M446+M447</f>
        <v>78505.27573163447</v>
      </c>
      <c r="N445" s="422">
        <f t="shared" si="182"/>
        <v>0</v>
      </c>
      <c r="O445" s="422">
        <f t="shared" si="182"/>
        <v>0</v>
      </c>
      <c r="P445" s="422">
        <f t="shared" si="182"/>
        <v>0</v>
      </c>
      <c r="Q445" s="422">
        <f t="shared" si="182"/>
        <v>0</v>
      </c>
      <c r="R445" s="422">
        <f t="shared" si="182"/>
        <v>0</v>
      </c>
      <c r="S445" s="422">
        <f t="shared" si="182"/>
        <v>0</v>
      </c>
      <c r="T445" s="437">
        <f t="shared" si="177"/>
        <v>0</v>
      </c>
      <c r="U445" s="437" t="e">
        <f t="shared" si="178"/>
        <v>#DIV/0!</v>
      </c>
      <c r="V445" s="78"/>
      <c r="W445" s="78"/>
      <c r="X445" s="78"/>
      <c r="Y445" s="78"/>
      <c r="Z445" s="78"/>
      <c r="AA445" s="78"/>
      <c r="AB445" s="78"/>
    </row>
    <row r="446" spans="1:28" s="75" customFormat="1" ht="32.25" customHeight="1">
      <c r="A446" s="37" t="s">
        <v>585</v>
      </c>
      <c r="B446" s="37">
        <v>1</v>
      </c>
      <c r="C446" s="37"/>
      <c r="D446" s="37">
        <v>3</v>
      </c>
      <c r="E446" s="37">
        <v>4</v>
      </c>
      <c r="F446" s="37">
        <v>5</v>
      </c>
      <c r="G446" s="37"/>
      <c r="H446" s="37"/>
      <c r="I446" s="37"/>
      <c r="J446" s="37">
        <v>640</v>
      </c>
      <c r="K446" s="42">
        <v>4511</v>
      </c>
      <c r="L446" s="372" t="s">
        <v>691</v>
      </c>
      <c r="M446" s="422">
        <f>577748/7.5345</f>
        <v>76680.33711593336</v>
      </c>
      <c r="N446" s="422"/>
      <c r="O446" s="422"/>
      <c r="P446" s="422"/>
      <c r="Q446" s="422"/>
      <c r="R446" s="422"/>
      <c r="S446" s="422"/>
      <c r="T446" s="437">
        <f t="shared" si="177"/>
        <v>0</v>
      </c>
      <c r="U446" s="437"/>
      <c r="V446" s="78"/>
      <c r="W446" s="78"/>
      <c r="X446" s="78"/>
      <c r="Y446" s="78"/>
      <c r="Z446" s="78"/>
      <c r="AA446" s="78"/>
      <c r="AB446" s="78"/>
    </row>
    <row r="447" spans="1:28" s="75" customFormat="1" ht="20.25" customHeight="1">
      <c r="A447" s="37" t="s">
        <v>585</v>
      </c>
      <c r="B447" s="37">
        <v>1</v>
      </c>
      <c r="C447" s="37"/>
      <c r="D447" s="37">
        <v>3</v>
      </c>
      <c r="E447" s="37">
        <v>4</v>
      </c>
      <c r="F447" s="37">
        <v>5</v>
      </c>
      <c r="G447" s="37"/>
      <c r="H447" s="37"/>
      <c r="I447" s="37"/>
      <c r="J447" s="37">
        <v>640</v>
      </c>
      <c r="K447" s="42">
        <v>4511</v>
      </c>
      <c r="L447" s="370" t="s">
        <v>692</v>
      </c>
      <c r="M447" s="422">
        <f>13750/7.5345</f>
        <v>1824.9386157011081</v>
      </c>
      <c r="N447" s="422"/>
      <c r="O447" s="422"/>
      <c r="P447" s="422"/>
      <c r="Q447" s="422"/>
      <c r="R447" s="422"/>
      <c r="S447" s="422"/>
      <c r="T447" s="437">
        <f t="shared" si="177"/>
        <v>0</v>
      </c>
      <c r="U447" s="437"/>
      <c r="V447" s="78"/>
      <c r="W447" s="78"/>
      <c r="X447" s="78"/>
      <c r="Y447" s="78"/>
      <c r="Z447" s="78"/>
      <c r="AA447" s="78"/>
      <c r="AB447" s="78"/>
    </row>
    <row r="448" spans="1:36" s="128" customFormat="1" ht="15.75">
      <c r="A448" s="125"/>
      <c r="B448" s="125"/>
      <c r="C448" s="125"/>
      <c r="D448" s="125"/>
      <c r="E448" s="125"/>
      <c r="F448" s="125"/>
      <c r="G448" s="125"/>
      <c r="H448" s="125"/>
      <c r="I448" s="125"/>
      <c r="J448" s="125"/>
      <c r="K448" s="126"/>
      <c r="L448" s="348" t="s">
        <v>86</v>
      </c>
      <c r="M448" s="421">
        <f aca="true" t="shared" si="183" ref="M448:S448">M437+M443</f>
        <v>145287.67668723868</v>
      </c>
      <c r="N448" s="421">
        <f t="shared" si="183"/>
        <v>89008.62390426561</v>
      </c>
      <c r="O448" s="421">
        <f t="shared" si="183"/>
        <v>895000</v>
      </c>
      <c r="P448" s="421">
        <f t="shared" si="183"/>
        <v>118786.91353109031</v>
      </c>
      <c r="Q448" s="421">
        <f t="shared" si="183"/>
        <v>59112.51</v>
      </c>
      <c r="R448" s="421">
        <f t="shared" si="183"/>
        <v>127587.09</v>
      </c>
      <c r="S448" s="421">
        <f t="shared" si="183"/>
        <v>119732.47</v>
      </c>
      <c r="T448" s="421">
        <f t="shared" si="177"/>
        <v>82.41061646112529</v>
      </c>
      <c r="U448" s="421">
        <f t="shared" si="178"/>
        <v>93.84371882766509</v>
      </c>
      <c r="V448" s="78"/>
      <c r="W448" s="78"/>
      <c r="X448" s="78"/>
      <c r="Y448" s="78"/>
      <c r="Z448" s="78"/>
      <c r="AA448" s="78"/>
      <c r="AB448" s="78"/>
      <c r="AC448" s="75"/>
      <c r="AD448" s="75"/>
      <c r="AE448" s="75"/>
      <c r="AF448" s="75"/>
      <c r="AG448" s="75"/>
      <c r="AH448" s="75"/>
      <c r="AI448" s="75"/>
      <c r="AJ448" s="75"/>
    </row>
    <row r="449" spans="1:36" s="224" customFormat="1" ht="15.75">
      <c r="A449" s="32"/>
      <c r="B449" s="32"/>
      <c r="C449" s="32"/>
      <c r="D449" s="32"/>
      <c r="E449" s="32"/>
      <c r="F449" s="32"/>
      <c r="G449" s="32"/>
      <c r="H449" s="32"/>
      <c r="I449" s="32"/>
      <c r="J449" s="32"/>
      <c r="K449" s="31"/>
      <c r="L449" s="59"/>
      <c r="M449" s="463"/>
      <c r="N449" s="463"/>
      <c r="O449" s="463"/>
      <c r="P449" s="463"/>
      <c r="Q449" s="463"/>
      <c r="R449" s="463"/>
      <c r="S449" s="463"/>
      <c r="T449" s="463"/>
      <c r="U449" s="463"/>
      <c r="V449" s="78"/>
      <c r="W449" s="78"/>
      <c r="X449" s="78"/>
      <c r="Y449" s="78"/>
      <c r="Z449" s="78"/>
      <c r="AA449" s="78"/>
      <c r="AB449" s="78"/>
      <c r="AC449" s="78"/>
      <c r="AD449" s="78"/>
      <c r="AE449" s="78"/>
      <c r="AF449" s="78"/>
      <c r="AG449" s="78"/>
      <c r="AH449" s="78"/>
      <c r="AI449" s="78"/>
      <c r="AJ449" s="78"/>
    </row>
    <row r="450" spans="1:36" s="212" customFormat="1" ht="15.75">
      <c r="A450" s="79" t="s">
        <v>210</v>
      </c>
      <c r="B450" s="79"/>
      <c r="C450" s="79"/>
      <c r="D450" s="79"/>
      <c r="E450" s="79"/>
      <c r="F450" s="79"/>
      <c r="G450" s="79"/>
      <c r="H450" s="79"/>
      <c r="I450" s="79"/>
      <c r="J450" s="79"/>
      <c r="K450" s="41" t="s">
        <v>323</v>
      </c>
      <c r="L450" s="234" t="s">
        <v>404</v>
      </c>
      <c r="M450" s="430"/>
      <c r="N450" s="430"/>
      <c r="O450" s="430"/>
      <c r="P450" s="430"/>
      <c r="Q450" s="430"/>
      <c r="R450" s="430"/>
      <c r="S450" s="430"/>
      <c r="T450" s="430"/>
      <c r="U450" s="430"/>
      <c r="V450" s="78"/>
      <c r="W450" s="78"/>
      <c r="X450" s="78"/>
      <c r="Y450" s="78"/>
      <c r="Z450" s="78"/>
      <c r="AA450" s="78"/>
      <c r="AB450" s="78"/>
      <c r="AC450" s="78"/>
      <c r="AD450" s="78"/>
      <c r="AE450" s="78"/>
      <c r="AF450" s="78"/>
      <c r="AG450" s="78"/>
      <c r="AH450" s="78"/>
      <c r="AI450" s="78"/>
      <c r="AJ450" s="78"/>
    </row>
    <row r="451" spans="1:36" s="212" customFormat="1" ht="15.75">
      <c r="A451" s="79" t="s">
        <v>586</v>
      </c>
      <c r="B451" s="79"/>
      <c r="C451" s="79"/>
      <c r="D451" s="79"/>
      <c r="E451" s="79"/>
      <c r="F451" s="79"/>
      <c r="G451" s="79"/>
      <c r="H451" s="79"/>
      <c r="I451" s="79"/>
      <c r="J451" s="79"/>
      <c r="K451" s="41" t="s">
        <v>324</v>
      </c>
      <c r="L451" s="329" t="s">
        <v>455</v>
      </c>
      <c r="M451" s="430"/>
      <c r="N451" s="430"/>
      <c r="O451" s="430"/>
      <c r="P451" s="430"/>
      <c r="Q451" s="430"/>
      <c r="R451" s="430"/>
      <c r="S451" s="430"/>
      <c r="T451" s="430"/>
      <c r="U451" s="430"/>
      <c r="V451" s="78"/>
      <c r="W451" s="78"/>
      <c r="X451" s="78"/>
      <c r="Y451" s="78"/>
      <c r="Z451" s="78"/>
      <c r="AA451" s="78"/>
      <c r="AB451" s="78"/>
      <c r="AC451" s="78"/>
      <c r="AD451" s="78"/>
      <c r="AE451" s="78"/>
      <c r="AF451" s="78"/>
      <c r="AG451" s="78"/>
      <c r="AH451" s="78"/>
      <c r="AI451" s="78"/>
      <c r="AJ451" s="78"/>
    </row>
    <row r="452" spans="1:28" s="75" customFormat="1" ht="15">
      <c r="A452" s="37" t="s">
        <v>586</v>
      </c>
      <c r="B452" s="37"/>
      <c r="C452" s="37"/>
      <c r="D452" s="37"/>
      <c r="E452" s="37"/>
      <c r="F452" s="37"/>
      <c r="G452" s="37"/>
      <c r="H452" s="37"/>
      <c r="I452" s="37"/>
      <c r="J452" s="37">
        <v>660</v>
      </c>
      <c r="K452" s="315">
        <v>3</v>
      </c>
      <c r="L452" s="335" t="s">
        <v>0</v>
      </c>
      <c r="M452" s="422">
        <f aca="true" t="shared" si="184" ref="M452:S454">M453</f>
        <v>0</v>
      </c>
      <c r="N452" s="422">
        <f t="shared" si="184"/>
        <v>0</v>
      </c>
      <c r="O452" s="437">
        <f t="shared" si="184"/>
        <v>0</v>
      </c>
      <c r="P452" s="437">
        <f t="shared" si="184"/>
        <v>0</v>
      </c>
      <c r="Q452" s="437">
        <f t="shared" si="184"/>
        <v>900</v>
      </c>
      <c r="R452" s="437">
        <f t="shared" si="184"/>
        <v>1800</v>
      </c>
      <c r="S452" s="437">
        <f t="shared" si="184"/>
        <v>1800</v>
      </c>
      <c r="T452" s="437" t="e">
        <f>S452/M452*100</f>
        <v>#DIV/0!</v>
      </c>
      <c r="U452" s="437">
        <f>S452/R452*100</f>
        <v>100</v>
      </c>
      <c r="V452" s="78"/>
      <c r="W452" s="78"/>
      <c r="X452" s="78"/>
      <c r="Y452" s="78"/>
      <c r="Z452" s="78"/>
      <c r="AA452" s="78"/>
      <c r="AB452" s="78"/>
    </row>
    <row r="453" spans="1:28" s="75" customFormat="1" ht="15">
      <c r="A453" s="37" t="s">
        <v>586</v>
      </c>
      <c r="B453" s="37"/>
      <c r="C453" s="37"/>
      <c r="D453" s="37"/>
      <c r="E453" s="37"/>
      <c r="F453" s="37"/>
      <c r="G453" s="37"/>
      <c r="H453" s="37"/>
      <c r="I453" s="37"/>
      <c r="J453" s="37">
        <v>660</v>
      </c>
      <c r="K453" s="315">
        <v>32</v>
      </c>
      <c r="L453" s="335" t="s">
        <v>5</v>
      </c>
      <c r="M453" s="422">
        <f t="shared" si="184"/>
        <v>0</v>
      </c>
      <c r="N453" s="422">
        <f t="shared" si="184"/>
        <v>0</v>
      </c>
      <c r="O453" s="437">
        <f t="shared" si="184"/>
        <v>0</v>
      </c>
      <c r="P453" s="437">
        <f t="shared" si="184"/>
        <v>0</v>
      </c>
      <c r="Q453" s="437">
        <f t="shared" si="184"/>
        <v>900</v>
      </c>
      <c r="R453" s="437">
        <f t="shared" si="184"/>
        <v>1800</v>
      </c>
      <c r="S453" s="437">
        <f t="shared" si="184"/>
        <v>1800</v>
      </c>
      <c r="T453" s="437" t="e">
        <f aca="true" t="shared" si="185" ref="T453:T460">S453/M453*100</f>
        <v>#DIV/0!</v>
      </c>
      <c r="U453" s="437">
        <f aca="true" t="shared" si="186" ref="U453:U460">S453/R453*100</f>
        <v>100</v>
      </c>
      <c r="V453" s="78"/>
      <c r="W453" s="78"/>
      <c r="X453" s="78"/>
      <c r="Y453" s="78"/>
      <c r="Z453" s="78"/>
      <c r="AA453" s="78"/>
      <c r="AB453" s="78"/>
    </row>
    <row r="454" spans="1:28" s="75" customFormat="1" ht="16.5" customHeight="1">
      <c r="A454" s="37" t="s">
        <v>586</v>
      </c>
      <c r="B454" s="37"/>
      <c r="C454" s="37"/>
      <c r="D454" s="37"/>
      <c r="E454" s="37"/>
      <c r="F454" s="37"/>
      <c r="G454" s="37"/>
      <c r="H454" s="37"/>
      <c r="I454" s="37"/>
      <c r="J454" s="37">
        <v>660</v>
      </c>
      <c r="K454" s="315">
        <v>323</v>
      </c>
      <c r="L454" s="335" t="s">
        <v>7</v>
      </c>
      <c r="M454" s="422">
        <f t="shared" si="184"/>
        <v>0</v>
      </c>
      <c r="N454" s="422">
        <f t="shared" si="184"/>
        <v>0</v>
      </c>
      <c r="O454" s="437">
        <f t="shared" si="184"/>
        <v>0</v>
      </c>
      <c r="P454" s="437">
        <f t="shared" si="184"/>
        <v>0</v>
      </c>
      <c r="Q454" s="437">
        <f t="shared" si="184"/>
        <v>900</v>
      </c>
      <c r="R454" s="437">
        <f t="shared" si="184"/>
        <v>1800</v>
      </c>
      <c r="S454" s="437">
        <f t="shared" si="184"/>
        <v>1800</v>
      </c>
      <c r="T454" s="437" t="e">
        <f t="shared" si="185"/>
        <v>#DIV/0!</v>
      </c>
      <c r="U454" s="437">
        <f t="shared" si="186"/>
        <v>100</v>
      </c>
      <c r="V454" s="78"/>
      <c r="W454" s="78"/>
      <c r="X454" s="78"/>
      <c r="Y454" s="78"/>
      <c r="Z454" s="78"/>
      <c r="AA454" s="78"/>
      <c r="AB454" s="78"/>
    </row>
    <row r="455" spans="1:28" s="75" customFormat="1" ht="24" customHeight="1">
      <c r="A455" s="37" t="s">
        <v>586</v>
      </c>
      <c r="B455" s="37"/>
      <c r="C455" s="37"/>
      <c r="D455" s="37"/>
      <c r="E455" s="37"/>
      <c r="F455" s="37"/>
      <c r="G455" s="37"/>
      <c r="H455" s="37"/>
      <c r="I455" s="37"/>
      <c r="J455" s="37">
        <v>660</v>
      </c>
      <c r="K455" s="425">
        <v>3232</v>
      </c>
      <c r="L455" s="330" t="s">
        <v>600</v>
      </c>
      <c r="M455" s="422">
        <v>0</v>
      </c>
      <c r="N455" s="422">
        <v>0</v>
      </c>
      <c r="O455" s="422">
        <v>0</v>
      </c>
      <c r="P455" s="422">
        <v>0</v>
      </c>
      <c r="Q455" s="422">
        <v>900</v>
      </c>
      <c r="R455" s="422">
        <v>1800</v>
      </c>
      <c r="S455" s="422">
        <v>1800</v>
      </c>
      <c r="T455" s="437" t="e">
        <f t="shared" si="185"/>
        <v>#DIV/0!</v>
      </c>
      <c r="U455" s="437">
        <f t="shared" si="186"/>
        <v>100</v>
      </c>
      <c r="V455" s="78"/>
      <c r="W455" s="78"/>
      <c r="X455" s="78"/>
      <c r="Y455" s="78"/>
      <c r="Z455" s="78"/>
      <c r="AA455" s="78"/>
      <c r="AB455" s="78"/>
    </row>
    <row r="456" spans="1:28" s="75" customFormat="1" ht="15.75">
      <c r="A456" s="37" t="s">
        <v>586</v>
      </c>
      <c r="B456" s="37">
        <v>1</v>
      </c>
      <c r="C456" s="37"/>
      <c r="D456" s="37"/>
      <c r="E456" s="37"/>
      <c r="F456" s="37">
        <v>5</v>
      </c>
      <c r="G456" s="37"/>
      <c r="H456" s="37"/>
      <c r="I456" s="37"/>
      <c r="J456" s="37">
        <v>660</v>
      </c>
      <c r="K456" s="272">
        <v>4</v>
      </c>
      <c r="L456" s="334" t="s">
        <v>1</v>
      </c>
      <c r="M456" s="422">
        <f>M457</f>
        <v>1393.5894883535734</v>
      </c>
      <c r="N456" s="422">
        <f aca="true" t="shared" si="187" ref="N456:S457">N457</f>
        <v>26544.56</v>
      </c>
      <c r="O456" s="422">
        <f t="shared" si="187"/>
        <v>26544.56</v>
      </c>
      <c r="P456" s="422">
        <f t="shared" si="187"/>
        <v>26544.56</v>
      </c>
      <c r="Q456" s="422">
        <f t="shared" si="187"/>
        <v>0</v>
      </c>
      <c r="R456" s="422">
        <f t="shared" si="187"/>
        <v>0</v>
      </c>
      <c r="S456" s="422">
        <f t="shared" si="187"/>
        <v>0</v>
      </c>
      <c r="T456" s="437">
        <f t="shared" si="185"/>
        <v>0</v>
      </c>
      <c r="U456" s="437" t="e">
        <f t="shared" si="186"/>
        <v>#DIV/0!</v>
      </c>
      <c r="V456" s="78"/>
      <c r="W456" s="78"/>
      <c r="X456" s="78"/>
      <c r="Y456" s="78"/>
      <c r="Z456" s="78"/>
      <c r="AA456" s="78"/>
      <c r="AB456" s="78"/>
    </row>
    <row r="457" spans="1:28" s="75" customFormat="1" ht="15.75">
      <c r="A457" s="37" t="s">
        <v>586</v>
      </c>
      <c r="B457" s="37">
        <v>1</v>
      </c>
      <c r="C457" s="37"/>
      <c r="D457" s="37"/>
      <c r="E457" s="37"/>
      <c r="F457" s="37">
        <v>5</v>
      </c>
      <c r="G457" s="37"/>
      <c r="H457" s="37"/>
      <c r="I457" s="37"/>
      <c r="J457" s="37">
        <v>660</v>
      </c>
      <c r="K457" s="280">
        <v>42</v>
      </c>
      <c r="L457" s="350" t="s">
        <v>28</v>
      </c>
      <c r="M457" s="422">
        <f>M458</f>
        <v>1393.5894883535734</v>
      </c>
      <c r="N457" s="422">
        <f t="shared" si="187"/>
        <v>26544.56</v>
      </c>
      <c r="O457" s="422">
        <f t="shared" si="187"/>
        <v>26544.56</v>
      </c>
      <c r="P457" s="422">
        <f t="shared" si="187"/>
        <v>26544.56</v>
      </c>
      <c r="Q457" s="422">
        <f t="shared" si="187"/>
        <v>0</v>
      </c>
      <c r="R457" s="422">
        <f t="shared" si="187"/>
        <v>0</v>
      </c>
      <c r="S457" s="422">
        <f t="shared" si="187"/>
        <v>0</v>
      </c>
      <c r="T457" s="437">
        <f t="shared" si="185"/>
        <v>0</v>
      </c>
      <c r="U457" s="437" t="e">
        <f t="shared" si="186"/>
        <v>#DIV/0!</v>
      </c>
      <c r="V457" s="78"/>
      <c r="W457" s="78"/>
      <c r="X457" s="78"/>
      <c r="Y457" s="78"/>
      <c r="Z457" s="78"/>
      <c r="AA457" s="78"/>
      <c r="AB457" s="78"/>
    </row>
    <row r="458" spans="1:28" s="75" customFormat="1" ht="15" customHeight="1">
      <c r="A458" s="37" t="s">
        <v>586</v>
      </c>
      <c r="B458" s="37">
        <v>1</v>
      </c>
      <c r="C458" s="37"/>
      <c r="D458" s="37"/>
      <c r="E458" s="37"/>
      <c r="F458" s="37">
        <v>5</v>
      </c>
      <c r="G458" s="37"/>
      <c r="H458" s="37"/>
      <c r="I458" s="37"/>
      <c r="J458" s="37">
        <v>660</v>
      </c>
      <c r="K458" s="272">
        <v>422</v>
      </c>
      <c r="L458" s="334" t="s">
        <v>14</v>
      </c>
      <c r="M458" s="422">
        <f>M459</f>
        <v>1393.5894883535734</v>
      </c>
      <c r="N458" s="422">
        <f aca="true" t="shared" si="188" ref="N458:S458">N459</f>
        <v>26544.56</v>
      </c>
      <c r="O458" s="422">
        <f t="shared" si="188"/>
        <v>26544.56</v>
      </c>
      <c r="P458" s="422">
        <f t="shared" si="188"/>
        <v>26544.56</v>
      </c>
      <c r="Q458" s="422">
        <f t="shared" si="188"/>
        <v>0</v>
      </c>
      <c r="R458" s="422">
        <f t="shared" si="188"/>
        <v>0</v>
      </c>
      <c r="S458" s="422">
        <f t="shared" si="188"/>
        <v>0</v>
      </c>
      <c r="T458" s="437">
        <f t="shared" si="185"/>
        <v>0</v>
      </c>
      <c r="U458" s="437" t="e">
        <f t="shared" si="186"/>
        <v>#DIV/0!</v>
      </c>
      <c r="V458" s="78"/>
      <c r="W458" s="78"/>
      <c r="X458" s="78"/>
      <c r="Y458" s="78"/>
      <c r="Z458" s="78"/>
      <c r="AA458" s="78"/>
      <c r="AB458" s="78"/>
    </row>
    <row r="459" spans="1:28" s="75" customFormat="1" ht="19.5" customHeight="1">
      <c r="A459" s="37" t="s">
        <v>586</v>
      </c>
      <c r="B459" s="37">
        <v>1</v>
      </c>
      <c r="C459" s="37"/>
      <c r="D459" s="37"/>
      <c r="E459" s="37"/>
      <c r="F459" s="37">
        <v>5</v>
      </c>
      <c r="G459" s="37"/>
      <c r="H459" s="37"/>
      <c r="I459" s="37"/>
      <c r="J459" s="37">
        <v>660</v>
      </c>
      <c r="K459" s="42">
        <v>4227</v>
      </c>
      <c r="L459" s="332" t="s">
        <v>622</v>
      </c>
      <c r="M459" s="422">
        <f>10500/7.5345</f>
        <v>1393.5894883535734</v>
      </c>
      <c r="N459" s="422">
        <v>26544.56</v>
      </c>
      <c r="O459" s="422">
        <v>26544.56</v>
      </c>
      <c r="P459" s="422">
        <v>26544.56</v>
      </c>
      <c r="Q459" s="422">
        <v>0</v>
      </c>
      <c r="R459" s="422">
        <v>0</v>
      </c>
      <c r="S459" s="422"/>
      <c r="T459" s="437">
        <f t="shared" si="185"/>
        <v>0</v>
      </c>
      <c r="U459" s="437" t="e">
        <f t="shared" si="186"/>
        <v>#DIV/0!</v>
      </c>
      <c r="V459" s="78"/>
      <c r="W459" s="78"/>
      <c r="X459" s="78"/>
      <c r="Y459" s="78"/>
      <c r="Z459" s="78"/>
      <c r="AA459" s="78"/>
      <c r="AB459" s="78"/>
    </row>
    <row r="460" spans="1:36" s="128" customFormat="1" ht="15.75">
      <c r="A460" s="125"/>
      <c r="B460" s="125"/>
      <c r="C460" s="125"/>
      <c r="D460" s="125"/>
      <c r="E460" s="125"/>
      <c r="F460" s="125"/>
      <c r="G460" s="125"/>
      <c r="H460" s="125"/>
      <c r="I460" s="125"/>
      <c r="J460" s="125"/>
      <c r="K460" s="126"/>
      <c r="L460" s="348" t="s">
        <v>86</v>
      </c>
      <c r="M460" s="421">
        <f aca="true" t="shared" si="189" ref="M460:S460">M452+M456</f>
        <v>1393.5894883535734</v>
      </c>
      <c r="N460" s="421">
        <f t="shared" si="189"/>
        <v>26544.56</v>
      </c>
      <c r="O460" s="421">
        <f t="shared" si="189"/>
        <v>26544.56</v>
      </c>
      <c r="P460" s="421">
        <f t="shared" si="189"/>
        <v>26544.56</v>
      </c>
      <c r="Q460" s="421">
        <f t="shared" si="189"/>
        <v>900</v>
      </c>
      <c r="R460" s="421">
        <f t="shared" si="189"/>
        <v>1800</v>
      </c>
      <c r="S460" s="421">
        <f t="shared" si="189"/>
        <v>1800</v>
      </c>
      <c r="T460" s="421">
        <f t="shared" si="185"/>
        <v>129.16285714285715</v>
      </c>
      <c r="U460" s="421">
        <f t="shared" si="186"/>
        <v>100</v>
      </c>
      <c r="V460" s="78"/>
      <c r="W460" s="78"/>
      <c r="X460" s="78"/>
      <c r="Y460" s="78"/>
      <c r="Z460" s="78"/>
      <c r="AA460" s="78"/>
      <c r="AB460" s="78"/>
      <c r="AC460" s="75"/>
      <c r="AD460" s="75"/>
      <c r="AE460" s="75"/>
      <c r="AF460" s="75"/>
      <c r="AG460" s="75"/>
      <c r="AH460" s="75"/>
      <c r="AI460" s="75"/>
      <c r="AJ460" s="75"/>
    </row>
    <row r="461" spans="1:36" s="46" customFormat="1" ht="18" customHeight="1">
      <c r="A461" s="19"/>
      <c r="B461" s="19"/>
      <c r="C461" s="19"/>
      <c r="D461" s="19"/>
      <c r="E461" s="19"/>
      <c r="F461" s="19"/>
      <c r="G461" s="19"/>
      <c r="H461" s="19"/>
      <c r="I461" s="19"/>
      <c r="J461" s="19"/>
      <c r="K461" s="13"/>
      <c r="L461" s="54"/>
      <c r="M461" s="429"/>
      <c r="N461" s="429"/>
      <c r="O461" s="429"/>
      <c r="P461" s="429"/>
      <c r="Q461" s="429"/>
      <c r="R461" s="429"/>
      <c r="S461" s="429"/>
      <c r="T461" s="429"/>
      <c r="U461" s="429"/>
      <c r="V461" s="78"/>
      <c r="W461" s="78"/>
      <c r="X461" s="78"/>
      <c r="Y461" s="78"/>
      <c r="Z461" s="78"/>
      <c r="AA461" s="78"/>
      <c r="AB461" s="78"/>
      <c r="AC461" s="78"/>
      <c r="AD461" s="78"/>
      <c r="AE461" s="78"/>
      <c r="AF461" s="78"/>
      <c r="AG461" s="78"/>
      <c r="AH461" s="78"/>
      <c r="AI461" s="78"/>
      <c r="AJ461" s="78"/>
    </row>
    <row r="462" spans="1:36" s="212" customFormat="1" ht="19.5" customHeight="1">
      <c r="A462" s="79" t="s">
        <v>212</v>
      </c>
      <c r="B462" s="79"/>
      <c r="C462" s="79"/>
      <c r="D462" s="79"/>
      <c r="E462" s="79"/>
      <c r="F462" s="79"/>
      <c r="G462" s="79"/>
      <c r="H462" s="79"/>
      <c r="I462" s="79"/>
      <c r="J462" s="79"/>
      <c r="K462" s="41" t="s">
        <v>211</v>
      </c>
      <c r="L462" s="614" t="s">
        <v>525</v>
      </c>
      <c r="M462" s="430"/>
      <c r="N462" s="430"/>
      <c r="O462" s="430"/>
      <c r="P462" s="430"/>
      <c r="Q462" s="430"/>
      <c r="R462" s="430"/>
      <c r="S462" s="430"/>
      <c r="T462" s="430"/>
      <c r="U462" s="430"/>
      <c r="V462" s="78"/>
      <c r="W462" s="78"/>
      <c r="X462" s="78"/>
      <c r="Y462" s="78"/>
      <c r="Z462" s="78"/>
      <c r="AA462" s="78"/>
      <c r="AB462" s="78"/>
      <c r="AC462" s="78"/>
      <c r="AD462" s="78"/>
      <c r="AE462" s="78"/>
      <c r="AF462" s="78"/>
      <c r="AG462" s="78"/>
      <c r="AH462" s="78"/>
      <c r="AI462" s="78"/>
      <c r="AJ462" s="78"/>
    </row>
    <row r="463" spans="1:36" s="212" customFormat="1" ht="27.75" customHeight="1">
      <c r="A463" s="79" t="s">
        <v>587</v>
      </c>
      <c r="B463" s="79"/>
      <c r="C463" s="79"/>
      <c r="D463" s="79"/>
      <c r="E463" s="79"/>
      <c r="F463" s="79"/>
      <c r="G463" s="79"/>
      <c r="H463" s="79"/>
      <c r="I463" s="79"/>
      <c r="J463" s="79">
        <v>520</v>
      </c>
      <c r="K463" s="41" t="s">
        <v>48</v>
      </c>
      <c r="L463" s="614"/>
      <c r="M463" s="430"/>
      <c r="N463" s="430"/>
      <c r="O463" s="430"/>
      <c r="P463" s="430"/>
      <c r="Q463" s="430"/>
      <c r="R463" s="430"/>
      <c r="S463" s="430"/>
      <c r="T463" s="430"/>
      <c r="U463" s="430"/>
      <c r="V463" s="78"/>
      <c r="W463" s="78"/>
      <c r="X463" s="78"/>
      <c r="Y463" s="78"/>
      <c r="Z463" s="78"/>
      <c r="AA463" s="78"/>
      <c r="AB463" s="78"/>
      <c r="AC463" s="78"/>
      <c r="AD463" s="78"/>
      <c r="AE463" s="78"/>
      <c r="AF463" s="78"/>
      <c r="AG463" s="78"/>
      <c r="AH463" s="78"/>
      <c r="AI463" s="78"/>
      <c r="AJ463" s="78"/>
    </row>
    <row r="464" spans="1:28" s="75" customFormat="1" ht="15.75">
      <c r="A464" s="37" t="s">
        <v>587</v>
      </c>
      <c r="B464" s="37">
        <v>1</v>
      </c>
      <c r="C464" s="37"/>
      <c r="D464" s="37">
        <v>3</v>
      </c>
      <c r="E464" s="37"/>
      <c r="F464" s="37"/>
      <c r="G464" s="37"/>
      <c r="H464" s="37"/>
      <c r="I464" s="37"/>
      <c r="J464" s="37">
        <v>520</v>
      </c>
      <c r="K464" s="272">
        <v>3</v>
      </c>
      <c r="L464" s="273" t="s">
        <v>0</v>
      </c>
      <c r="M464" s="422">
        <f aca="true" t="shared" si="190" ref="M464:S465">M465</f>
        <v>7581.790430685513</v>
      </c>
      <c r="N464" s="422">
        <f t="shared" si="190"/>
        <v>4987.9607712105</v>
      </c>
      <c r="O464" s="437">
        <f t="shared" si="190"/>
        <v>160000</v>
      </c>
      <c r="P464" s="437">
        <f t="shared" si="190"/>
        <v>21235.64934634017</v>
      </c>
      <c r="Q464" s="437">
        <f t="shared" si="190"/>
        <v>5175</v>
      </c>
      <c r="R464" s="437">
        <f t="shared" si="190"/>
        <v>8000</v>
      </c>
      <c r="S464" s="437">
        <f t="shared" si="190"/>
        <v>7336.25</v>
      </c>
      <c r="T464" s="437">
        <f>S464/M464*100</f>
        <v>96.76144529540483</v>
      </c>
      <c r="U464" s="437">
        <f>S464/R464*100</f>
        <v>91.703125</v>
      </c>
      <c r="V464" s="78"/>
      <c r="W464" s="78"/>
      <c r="X464" s="78"/>
      <c r="Y464" s="78"/>
      <c r="Z464" s="78"/>
      <c r="AA464" s="78"/>
      <c r="AB464" s="78"/>
    </row>
    <row r="465" spans="1:28" s="75" customFormat="1" ht="15">
      <c r="A465" s="37" t="s">
        <v>587</v>
      </c>
      <c r="B465" s="37">
        <v>1</v>
      </c>
      <c r="C465" s="37"/>
      <c r="D465" s="37">
        <v>3</v>
      </c>
      <c r="E465" s="37"/>
      <c r="F465" s="37"/>
      <c r="G465" s="37"/>
      <c r="H465" s="37"/>
      <c r="I465" s="37"/>
      <c r="J465" s="37">
        <v>520</v>
      </c>
      <c r="K465" s="274">
        <v>32</v>
      </c>
      <c r="L465" s="278" t="s">
        <v>5</v>
      </c>
      <c r="M465" s="422">
        <f t="shared" si="190"/>
        <v>7581.790430685513</v>
      </c>
      <c r="N465" s="422">
        <f t="shared" si="190"/>
        <v>4987.9607712105</v>
      </c>
      <c r="O465" s="437">
        <f t="shared" si="190"/>
        <v>160000</v>
      </c>
      <c r="P465" s="437">
        <f t="shared" si="190"/>
        <v>21235.64934634017</v>
      </c>
      <c r="Q465" s="437">
        <f t="shared" si="190"/>
        <v>5175</v>
      </c>
      <c r="R465" s="437">
        <f t="shared" si="190"/>
        <v>8000</v>
      </c>
      <c r="S465" s="437">
        <f t="shared" si="190"/>
        <v>7336.25</v>
      </c>
      <c r="T465" s="437">
        <f aca="true" t="shared" si="191" ref="T465:T474">S465/M465*100</f>
        <v>96.76144529540483</v>
      </c>
      <c r="U465" s="437">
        <f aca="true" t="shared" si="192" ref="U465:U474">S465/R465*100</f>
        <v>91.703125</v>
      </c>
      <c r="V465" s="78"/>
      <c r="W465" s="78"/>
      <c r="X465" s="78"/>
      <c r="Y465" s="78"/>
      <c r="Z465" s="78"/>
      <c r="AA465" s="78"/>
      <c r="AB465" s="78"/>
    </row>
    <row r="466" spans="1:28" s="75" customFormat="1" ht="27" customHeight="1">
      <c r="A466" s="37" t="s">
        <v>587</v>
      </c>
      <c r="B466" s="37">
        <v>1</v>
      </c>
      <c r="C466" s="37"/>
      <c r="D466" s="37">
        <v>3</v>
      </c>
      <c r="E466" s="37"/>
      <c r="F466" s="37"/>
      <c r="G466" s="37"/>
      <c r="H466" s="37"/>
      <c r="I466" s="37"/>
      <c r="J466" s="37">
        <v>520</v>
      </c>
      <c r="K466" s="272">
        <v>323</v>
      </c>
      <c r="L466" s="273" t="s">
        <v>7</v>
      </c>
      <c r="M466" s="422">
        <f aca="true" t="shared" si="193" ref="M466:S466">M467+M468+M469</f>
        <v>7581.790430685513</v>
      </c>
      <c r="N466" s="422">
        <f t="shared" si="193"/>
        <v>4987.9607712105</v>
      </c>
      <c r="O466" s="437">
        <f t="shared" si="193"/>
        <v>160000</v>
      </c>
      <c r="P466" s="437">
        <f t="shared" si="193"/>
        <v>21235.64934634017</v>
      </c>
      <c r="Q466" s="437">
        <f t="shared" si="193"/>
        <v>5175</v>
      </c>
      <c r="R466" s="437">
        <f t="shared" si="193"/>
        <v>8000</v>
      </c>
      <c r="S466" s="437">
        <f t="shared" si="193"/>
        <v>7336.25</v>
      </c>
      <c r="T466" s="437">
        <f t="shared" si="191"/>
        <v>96.76144529540483</v>
      </c>
      <c r="U466" s="437">
        <f t="shared" si="192"/>
        <v>91.703125</v>
      </c>
      <c r="V466" s="78"/>
      <c r="W466" s="78"/>
      <c r="X466" s="78"/>
      <c r="Y466" s="78"/>
      <c r="Z466" s="78"/>
      <c r="AA466" s="78"/>
      <c r="AB466" s="78"/>
    </row>
    <row r="467" spans="1:28" s="75" customFormat="1" ht="28.5" customHeight="1">
      <c r="A467" s="37" t="s">
        <v>587</v>
      </c>
      <c r="B467" s="37">
        <v>1</v>
      </c>
      <c r="C467" s="37"/>
      <c r="D467" s="37">
        <v>3</v>
      </c>
      <c r="E467" s="37"/>
      <c r="F467" s="37"/>
      <c r="G467" s="37"/>
      <c r="H467" s="37"/>
      <c r="I467" s="37"/>
      <c r="J467" s="37">
        <v>520</v>
      </c>
      <c r="K467" s="42">
        <v>3234</v>
      </c>
      <c r="L467" s="330" t="s">
        <v>335</v>
      </c>
      <c r="M467" s="422">
        <f>32875/7.5345</f>
        <v>4363.262326630831</v>
      </c>
      <c r="N467" s="422">
        <f>M467/7.5345</f>
        <v>579.1044298401793</v>
      </c>
      <c r="O467" s="422">
        <v>80000</v>
      </c>
      <c r="P467" s="422">
        <f>O467/7.5345</f>
        <v>10617.824673170084</v>
      </c>
      <c r="Q467" s="422">
        <v>5175</v>
      </c>
      <c r="R467" s="422">
        <v>5175</v>
      </c>
      <c r="S467" s="422">
        <v>5175</v>
      </c>
      <c r="T467" s="437">
        <f t="shared" si="191"/>
        <v>118.6039163498099</v>
      </c>
      <c r="U467" s="437">
        <f t="shared" si="192"/>
        <v>100</v>
      </c>
      <c r="V467" s="78"/>
      <c r="W467" s="78"/>
      <c r="X467" s="78"/>
      <c r="Y467" s="78"/>
      <c r="Z467" s="78"/>
      <c r="AA467" s="78"/>
      <c r="AB467" s="78"/>
    </row>
    <row r="468" spans="1:28" s="75" customFormat="1" ht="31.5" customHeight="1">
      <c r="A468" s="37" t="s">
        <v>587</v>
      </c>
      <c r="B468" s="37">
        <v>1</v>
      </c>
      <c r="C468" s="37"/>
      <c r="D468" s="37">
        <v>3</v>
      </c>
      <c r="E468" s="37"/>
      <c r="F468" s="37"/>
      <c r="G468" s="37"/>
      <c r="H468" s="37"/>
      <c r="I468" s="37"/>
      <c r="J468" s="37">
        <v>520</v>
      </c>
      <c r="K468" s="42">
        <v>3234</v>
      </c>
      <c r="L468" s="88" t="s">
        <v>120</v>
      </c>
      <c r="M468" s="422">
        <f>24250/7.5345</f>
        <v>3218.5281040546815</v>
      </c>
      <c r="N468" s="422">
        <f>M468/7.5345</f>
        <v>427.1720889315391</v>
      </c>
      <c r="O468" s="422">
        <v>50000</v>
      </c>
      <c r="P468" s="422">
        <f>O468/7.5345</f>
        <v>6636.140420731303</v>
      </c>
      <c r="Q468" s="422">
        <v>0</v>
      </c>
      <c r="R468" s="422">
        <f>2161+664</f>
        <v>2825</v>
      </c>
      <c r="S468" s="422">
        <v>2161.25</v>
      </c>
      <c r="T468" s="437">
        <f t="shared" si="191"/>
        <v>67.15026030927835</v>
      </c>
      <c r="U468" s="437">
        <f t="shared" si="192"/>
        <v>76.50442477876106</v>
      </c>
      <c r="V468" s="78"/>
      <c r="W468" s="78"/>
      <c r="X468" s="78"/>
      <c r="Y468" s="78"/>
      <c r="Z468" s="78"/>
      <c r="AA468" s="78"/>
      <c r="AB468" s="78"/>
    </row>
    <row r="469" spans="1:28" s="75" customFormat="1" ht="23.25" customHeight="1">
      <c r="A469" s="37" t="s">
        <v>587</v>
      </c>
      <c r="B469" s="37">
        <v>1</v>
      </c>
      <c r="C469" s="37"/>
      <c r="D469" s="37">
        <v>3</v>
      </c>
      <c r="E469" s="37"/>
      <c r="F469" s="37"/>
      <c r="G469" s="37"/>
      <c r="H469" s="37"/>
      <c r="I469" s="37"/>
      <c r="J469" s="37">
        <v>520</v>
      </c>
      <c r="K469" s="42">
        <v>3234</v>
      </c>
      <c r="L469" s="330" t="s">
        <v>462</v>
      </c>
      <c r="M469" s="428">
        <v>0</v>
      </c>
      <c r="N469" s="428">
        <f>30000/7.5345</f>
        <v>3981.684252438781</v>
      </c>
      <c r="O469" s="428">
        <v>30000</v>
      </c>
      <c r="P469" s="428">
        <f>30000/7.5345</f>
        <v>3981.684252438781</v>
      </c>
      <c r="Q469" s="428">
        <v>0</v>
      </c>
      <c r="R469" s="428"/>
      <c r="S469" s="428"/>
      <c r="T469" s="437" t="e">
        <f t="shared" si="191"/>
        <v>#DIV/0!</v>
      </c>
      <c r="U469" s="437" t="e">
        <f t="shared" si="192"/>
        <v>#DIV/0!</v>
      </c>
      <c r="V469" s="78"/>
      <c r="W469" s="78"/>
      <c r="X469" s="78"/>
      <c r="Y469" s="78"/>
      <c r="Z469" s="78"/>
      <c r="AA469" s="78"/>
      <c r="AB469" s="78"/>
    </row>
    <row r="470" spans="1:28" s="75" customFormat="1" ht="15">
      <c r="A470" s="37" t="s">
        <v>587</v>
      </c>
      <c r="B470" s="37">
        <v>1</v>
      </c>
      <c r="C470" s="37"/>
      <c r="D470" s="37"/>
      <c r="E470" s="37">
        <v>4</v>
      </c>
      <c r="F470" s="37">
        <v>5</v>
      </c>
      <c r="G470" s="37"/>
      <c r="H470" s="37"/>
      <c r="I470" s="37"/>
      <c r="J470" s="37">
        <v>520</v>
      </c>
      <c r="K470" s="285" t="s">
        <v>336</v>
      </c>
      <c r="L470" s="358" t="s">
        <v>1</v>
      </c>
      <c r="M470" s="428">
        <f aca="true" t="shared" si="194" ref="M470:S472">M471</f>
        <v>0</v>
      </c>
      <c r="N470" s="428">
        <f t="shared" si="194"/>
        <v>0</v>
      </c>
      <c r="O470" s="465">
        <f t="shared" si="194"/>
        <v>25000</v>
      </c>
      <c r="P470" s="465">
        <f t="shared" si="194"/>
        <v>3318.0702103656513</v>
      </c>
      <c r="Q470" s="465">
        <f t="shared" si="194"/>
        <v>0</v>
      </c>
      <c r="R470" s="465">
        <f t="shared" si="194"/>
        <v>0</v>
      </c>
      <c r="S470" s="465">
        <f t="shared" si="194"/>
        <v>0</v>
      </c>
      <c r="T470" s="437" t="e">
        <f t="shared" si="191"/>
        <v>#DIV/0!</v>
      </c>
      <c r="U470" s="437" t="e">
        <f t="shared" si="192"/>
        <v>#DIV/0!</v>
      </c>
      <c r="V470" s="78"/>
      <c r="W470" s="78"/>
      <c r="X470" s="78"/>
      <c r="Y470" s="78"/>
      <c r="Z470" s="78"/>
      <c r="AA470" s="78"/>
      <c r="AB470" s="78"/>
    </row>
    <row r="471" spans="1:28" s="75" customFormat="1" ht="14.25" customHeight="1">
      <c r="A471" s="37" t="s">
        <v>587</v>
      </c>
      <c r="B471" s="37">
        <v>1</v>
      </c>
      <c r="C471" s="37"/>
      <c r="D471" s="37"/>
      <c r="E471" s="37">
        <v>4</v>
      </c>
      <c r="F471" s="37">
        <v>5</v>
      </c>
      <c r="G471" s="37"/>
      <c r="H471" s="37"/>
      <c r="I471" s="37"/>
      <c r="J471" s="37">
        <v>520</v>
      </c>
      <c r="K471" s="274">
        <v>42</v>
      </c>
      <c r="L471" s="358" t="s">
        <v>28</v>
      </c>
      <c r="M471" s="428">
        <f t="shared" si="194"/>
        <v>0</v>
      </c>
      <c r="N471" s="428">
        <f t="shared" si="194"/>
        <v>0</v>
      </c>
      <c r="O471" s="465">
        <f t="shared" si="194"/>
        <v>25000</v>
      </c>
      <c r="P471" s="465">
        <f t="shared" si="194"/>
        <v>3318.0702103656513</v>
      </c>
      <c r="Q471" s="465">
        <f t="shared" si="194"/>
        <v>0</v>
      </c>
      <c r="R471" s="465">
        <f t="shared" si="194"/>
        <v>0</v>
      </c>
      <c r="S471" s="465">
        <f t="shared" si="194"/>
        <v>0</v>
      </c>
      <c r="T471" s="437" t="e">
        <f t="shared" si="191"/>
        <v>#DIV/0!</v>
      </c>
      <c r="U471" s="437" t="e">
        <f t="shared" si="192"/>
        <v>#DIV/0!</v>
      </c>
      <c r="V471" s="78"/>
      <c r="W471" s="78"/>
      <c r="X471" s="78"/>
      <c r="Y471" s="78"/>
      <c r="Z471" s="78"/>
      <c r="AA471" s="78"/>
      <c r="AB471" s="78"/>
    </row>
    <row r="472" spans="1:28" s="75" customFormat="1" ht="15.75" hidden="1">
      <c r="A472" s="37" t="s">
        <v>587</v>
      </c>
      <c r="B472" s="37">
        <v>1</v>
      </c>
      <c r="C472" s="37"/>
      <c r="D472" s="37"/>
      <c r="E472" s="37">
        <v>4</v>
      </c>
      <c r="F472" s="37">
        <v>5</v>
      </c>
      <c r="G472" s="37"/>
      <c r="H472" s="37"/>
      <c r="I472" s="37"/>
      <c r="J472" s="37">
        <v>520</v>
      </c>
      <c r="K472" s="272">
        <v>421</v>
      </c>
      <c r="L472" s="334" t="s">
        <v>13</v>
      </c>
      <c r="M472" s="422">
        <f t="shared" si="194"/>
        <v>0</v>
      </c>
      <c r="N472" s="422">
        <f t="shared" si="194"/>
        <v>0</v>
      </c>
      <c r="O472" s="437">
        <f t="shared" si="194"/>
        <v>25000</v>
      </c>
      <c r="P472" s="437">
        <f t="shared" si="194"/>
        <v>3318.0702103656513</v>
      </c>
      <c r="Q472" s="437">
        <f t="shared" si="194"/>
        <v>0</v>
      </c>
      <c r="R472" s="437"/>
      <c r="S472" s="437"/>
      <c r="T472" s="437" t="e">
        <f t="shared" si="191"/>
        <v>#DIV/0!</v>
      </c>
      <c r="U472" s="437" t="e">
        <f t="shared" si="192"/>
        <v>#DIV/0!</v>
      </c>
      <c r="V472" s="78"/>
      <c r="W472" s="78"/>
      <c r="X472" s="78"/>
      <c r="Y472" s="78"/>
      <c r="Z472" s="78"/>
      <c r="AA472" s="78"/>
      <c r="AB472" s="78"/>
    </row>
    <row r="473" spans="1:28" s="75" customFormat="1" ht="18.75" customHeight="1">
      <c r="A473" s="37" t="s">
        <v>587</v>
      </c>
      <c r="B473" s="37">
        <v>1</v>
      </c>
      <c r="C473" s="37"/>
      <c r="D473" s="37"/>
      <c r="E473" s="37">
        <v>4</v>
      </c>
      <c r="F473" s="37">
        <v>5</v>
      </c>
      <c r="G473" s="37"/>
      <c r="H473" s="37"/>
      <c r="I473" s="37"/>
      <c r="J473" s="37">
        <v>520</v>
      </c>
      <c r="K473" s="42">
        <v>4214</v>
      </c>
      <c r="L473" s="332" t="s">
        <v>517</v>
      </c>
      <c r="M473" s="424">
        <v>0</v>
      </c>
      <c r="N473" s="424">
        <f>M473/7.5345</f>
        <v>0</v>
      </c>
      <c r="O473" s="424">
        <v>25000</v>
      </c>
      <c r="P473" s="424">
        <f>O473/7.5345</f>
        <v>3318.0702103656513</v>
      </c>
      <c r="Q473" s="424">
        <v>0</v>
      </c>
      <c r="R473" s="424">
        <v>0</v>
      </c>
      <c r="S473" s="424"/>
      <c r="T473" s="437" t="e">
        <f t="shared" si="191"/>
        <v>#DIV/0!</v>
      </c>
      <c r="U473" s="437" t="e">
        <f t="shared" si="192"/>
        <v>#DIV/0!</v>
      </c>
      <c r="V473" s="78"/>
      <c r="W473" s="78"/>
      <c r="X473" s="78"/>
      <c r="Y473" s="78"/>
      <c r="Z473" s="78"/>
      <c r="AA473" s="78"/>
      <c r="AB473" s="78"/>
    </row>
    <row r="474" spans="1:36" s="128" customFormat="1" ht="15.75">
      <c r="A474" s="125"/>
      <c r="B474" s="125"/>
      <c r="C474" s="125"/>
      <c r="D474" s="125"/>
      <c r="E474" s="125"/>
      <c r="F474" s="125"/>
      <c r="G474" s="125"/>
      <c r="H474" s="125"/>
      <c r="I474" s="125"/>
      <c r="J474" s="125"/>
      <c r="K474" s="126"/>
      <c r="L474" s="127" t="s">
        <v>86</v>
      </c>
      <c r="M474" s="421">
        <f aca="true" t="shared" si="195" ref="M474:S474">M464+M470</f>
        <v>7581.790430685513</v>
      </c>
      <c r="N474" s="421">
        <f t="shared" si="195"/>
        <v>4987.9607712105</v>
      </c>
      <c r="O474" s="421">
        <f t="shared" si="195"/>
        <v>185000</v>
      </c>
      <c r="P474" s="421">
        <f t="shared" si="195"/>
        <v>24553.719556705822</v>
      </c>
      <c r="Q474" s="421">
        <f t="shared" si="195"/>
        <v>5175</v>
      </c>
      <c r="R474" s="421">
        <f t="shared" si="195"/>
        <v>8000</v>
      </c>
      <c r="S474" s="421">
        <f t="shared" si="195"/>
        <v>7336.25</v>
      </c>
      <c r="T474" s="421">
        <f t="shared" si="191"/>
        <v>96.76144529540483</v>
      </c>
      <c r="U474" s="421">
        <f t="shared" si="192"/>
        <v>91.703125</v>
      </c>
      <c r="V474" s="78"/>
      <c r="W474" s="78"/>
      <c r="X474" s="78"/>
      <c r="Y474" s="78"/>
      <c r="Z474" s="78"/>
      <c r="AA474" s="78"/>
      <c r="AB474" s="78"/>
      <c r="AC474" s="75"/>
      <c r="AD474" s="75"/>
      <c r="AE474" s="75"/>
      <c r="AF474" s="75"/>
      <c r="AG474" s="75"/>
      <c r="AH474" s="75"/>
      <c r="AI474" s="75"/>
      <c r="AJ474" s="75"/>
    </row>
    <row r="475" spans="1:36" s="46" customFormat="1" ht="15.75">
      <c r="A475" s="38"/>
      <c r="B475" s="38"/>
      <c r="C475" s="38"/>
      <c r="D475" s="38"/>
      <c r="E475" s="38"/>
      <c r="F475" s="38"/>
      <c r="G475" s="38"/>
      <c r="H475" s="38"/>
      <c r="I475" s="38"/>
      <c r="J475" s="38"/>
      <c r="K475" s="31"/>
      <c r="L475" s="58"/>
      <c r="M475" s="429"/>
      <c r="N475" s="429"/>
      <c r="O475" s="429"/>
      <c r="P475" s="429"/>
      <c r="Q475" s="429"/>
      <c r="R475" s="429"/>
      <c r="S475" s="429"/>
      <c r="T475" s="429"/>
      <c r="U475" s="429"/>
      <c r="V475" s="78"/>
      <c r="W475" s="78"/>
      <c r="X475" s="78"/>
      <c r="Y475" s="78"/>
      <c r="Z475" s="78"/>
      <c r="AA475" s="78"/>
      <c r="AB475" s="78"/>
      <c r="AC475" s="78"/>
      <c r="AD475" s="78"/>
      <c r="AE475" s="78"/>
      <c r="AF475" s="78"/>
      <c r="AG475" s="78"/>
      <c r="AH475" s="78"/>
      <c r="AI475" s="78"/>
      <c r="AJ475" s="78"/>
    </row>
    <row r="476" spans="1:36" s="212" customFormat="1" ht="15">
      <c r="A476" s="79" t="s">
        <v>213</v>
      </c>
      <c r="B476" s="79"/>
      <c r="C476" s="79"/>
      <c r="D476" s="79"/>
      <c r="E476" s="79"/>
      <c r="F476" s="79"/>
      <c r="G476" s="79"/>
      <c r="H476" s="79"/>
      <c r="I476" s="79"/>
      <c r="J476" s="79"/>
      <c r="K476" s="41" t="s">
        <v>214</v>
      </c>
      <c r="L476" s="614" t="s">
        <v>357</v>
      </c>
      <c r="M476" s="430"/>
      <c r="N476" s="430"/>
      <c r="O476" s="430"/>
      <c r="P476" s="430"/>
      <c r="Q476" s="430"/>
      <c r="R476" s="430"/>
      <c r="S476" s="430"/>
      <c r="T476" s="430"/>
      <c r="U476" s="430"/>
      <c r="V476" s="78"/>
      <c r="W476" s="78"/>
      <c r="X476" s="78"/>
      <c r="Y476" s="78"/>
      <c r="Z476" s="78"/>
      <c r="AA476" s="78"/>
      <c r="AB476" s="78"/>
      <c r="AC476" s="78"/>
      <c r="AD476" s="78"/>
      <c r="AE476" s="78"/>
      <c r="AF476" s="78"/>
      <c r="AG476" s="78"/>
      <c r="AH476" s="78"/>
      <c r="AI476" s="78"/>
      <c r="AJ476" s="78"/>
    </row>
    <row r="477" spans="1:36" s="212" customFormat="1" ht="15">
      <c r="A477" s="79" t="s">
        <v>588</v>
      </c>
      <c r="B477" s="79"/>
      <c r="C477" s="79"/>
      <c r="D477" s="79"/>
      <c r="E477" s="79"/>
      <c r="F477" s="79"/>
      <c r="G477" s="79"/>
      <c r="H477" s="79"/>
      <c r="I477" s="79"/>
      <c r="J477" s="79"/>
      <c r="K477" s="41" t="s">
        <v>222</v>
      </c>
      <c r="L477" s="618"/>
      <c r="M477" s="430"/>
      <c r="N477" s="430"/>
      <c r="O477" s="430"/>
      <c r="P477" s="430"/>
      <c r="Q477" s="430"/>
      <c r="R477" s="430"/>
      <c r="S477" s="430"/>
      <c r="T477" s="430"/>
      <c r="U477" s="430"/>
      <c r="V477" s="78"/>
      <c r="W477" s="78"/>
      <c r="X477" s="78"/>
      <c r="Y477" s="78"/>
      <c r="Z477" s="78"/>
      <c r="AA477" s="78"/>
      <c r="AB477" s="78"/>
      <c r="AC477" s="78"/>
      <c r="AD477" s="78"/>
      <c r="AE477" s="78"/>
      <c r="AF477" s="78"/>
      <c r="AG477" s="78"/>
      <c r="AH477" s="78"/>
      <c r="AI477" s="78"/>
      <c r="AJ477" s="78"/>
    </row>
    <row r="478" spans="1:28" s="75" customFormat="1" ht="15.75">
      <c r="A478" s="37" t="s">
        <v>588</v>
      </c>
      <c r="B478" s="37">
        <v>1</v>
      </c>
      <c r="C478" s="37"/>
      <c r="D478" s="37"/>
      <c r="E478" s="37"/>
      <c r="F478" s="37">
        <v>5</v>
      </c>
      <c r="G478" s="37"/>
      <c r="H478" s="37"/>
      <c r="I478" s="37"/>
      <c r="J478" s="37">
        <v>510</v>
      </c>
      <c r="K478" s="272">
        <v>3</v>
      </c>
      <c r="L478" s="273" t="s">
        <v>0</v>
      </c>
      <c r="M478" s="422">
        <f aca="true" t="shared" si="196" ref="M478:S479">M479</f>
        <v>6636.140420731303</v>
      </c>
      <c r="N478" s="422">
        <f t="shared" si="196"/>
        <v>6636.140420731303</v>
      </c>
      <c r="O478" s="437">
        <f t="shared" si="196"/>
        <v>50000</v>
      </c>
      <c r="P478" s="437">
        <f t="shared" si="196"/>
        <v>6636.140420731303</v>
      </c>
      <c r="Q478" s="437">
        <f t="shared" si="196"/>
        <v>0</v>
      </c>
      <c r="R478" s="437">
        <f t="shared" si="196"/>
        <v>0</v>
      </c>
      <c r="S478" s="437">
        <f t="shared" si="196"/>
        <v>0</v>
      </c>
      <c r="T478" s="437">
        <f>S478/M478*100</f>
        <v>0</v>
      </c>
      <c r="U478" s="437" t="e">
        <f>S478/R478*100</f>
        <v>#DIV/0!</v>
      </c>
      <c r="V478" s="78"/>
      <c r="W478" s="78"/>
      <c r="X478" s="78"/>
      <c r="Y478" s="78"/>
      <c r="Z478" s="78"/>
      <c r="AA478" s="78"/>
      <c r="AB478" s="78"/>
    </row>
    <row r="479" spans="1:28" s="75" customFormat="1" ht="15">
      <c r="A479" s="37" t="s">
        <v>588</v>
      </c>
      <c r="B479" s="37">
        <v>1</v>
      </c>
      <c r="C479" s="37"/>
      <c r="D479" s="37"/>
      <c r="E479" s="37"/>
      <c r="F479" s="37">
        <v>5</v>
      </c>
      <c r="G479" s="37"/>
      <c r="H479" s="37"/>
      <c r="I479" s="37"/>
      <c r="J479" s="37">
        <v>510</v>
      </c>
      <c r="K479" s="274">
        <v>32</v>
      </c>
      <c r="L479" s="278" t="s">
        <v>5</v>
      </c>
      <c r="M479" s="422">
        <f t="shared" si="196"/>
        <v>6636.140420731303</v>
      </c>
      <c r="N479" s="422">
        <f t="shared" si="196"/>
        <v>6636.140420731303</v>
      </c>
      <c r="O479" s="437">
        <f t="shared" si="196"/>
        <v>50000</v>
      </c>
      <c r="P479" s="437">
        <f t="shared" si="196"/>
        <v>6636.140420731303</v>
      </c>
      <c r="Q479" s="437">
        <f t="shared" si="196"/>
        <v>0</v>
      </c>
      <c r="R479" s="437">
        <f t="shared" si="196"/>
        <v>0</v>
      </c>
      <c r="S479" s="437">
        <f t="shared" si="196"/>
        <v>0</v>
      </c>
      <c r="T479" s="437">
        <f aca="true" t="shared" si="197" ref="T479:T495">S479/M479*100</f>
        <v>0</v>
      </c>
      <c r="U479" s="437" t="e">
        <f aca="true" t="shared" si="198" ref="U479:U495">S479/R479*100</f>
        <v>#DIV/0!</v>
      </c>
      <c r="V479" s="78"/>
      <c r="W479" s="78"/>
      <c r="X479" s="78"/>
      <c r="Y479" s="78"/>
      <c r="Z479" s="78"/>
      <c r="AA479" s="78"/>
      <c r="AB479" s="78"/>
    </row>
    <row r="480" spans="1:28" s="75" customFormat="1" ht="18" customHeight="1">
      <c r="A480" s="37" t="s">
        <v>588</v>
      </c>
      <c r="B480" s="37">
        <v>1</v>
      </c>
      <c r="C480" s="37"/>
      <c r="D480" s="37"/>
      <c r="E480" s="37"/>
      <c r="F480" s="37">
        <v>5</v>
      </c>
      <c r="G480" s="37"/>
      <c r="H480" s="37"/>
      <c r="I480" s="37"/>
      <c r="J480" s="37">
        <v>510</v>
      </c>
      <c r="K480" s="272">
        <v>323</v>
      </c>
      <c r="L480" s="273" t="s">
        <v>7</v>
      </c>
      <c r="M480" s="422">
        <f aca="true" t="shared" si="199" ref="M480:S480">M481</f>
        <v>6636.140420731303</v>
      </c>
      <c r="N480" s="422">
        <f t="shared" si="199"/>
        <v>6636.140420731303</v>
      </c>
      <c r="O480" s="437">
        <f t="shared" si="199"/>
        <v>50000</v>
      </c>
      <c r="P480" s="437">
        <f t="shared" si="199"/>
        <v>6636.140420731303</v>
      </c>
      <c r="Q480" s="437">
        <f t="shared" si="199"/>
        <v>0</v>
      </c>
      <c r="R480" s="437">
        <f t="shared" si="199"/>
        <v>0</v>
      </c>
      <c r="S480" s="437">
        <f t="shared" si="199"/>
        <v>0</v>
      </c>
      <c r="T480" s="437">
        <f t="shared" si="197"/>
        <v>0</v>
      </c>
      <c r="U480" s="437" t="e">
        <f t="shared" si="198"/>
        <v>#DIV/0!</v>
      </c>
      <c r="V480" s="78"/>
      <c r="W480" s="78"/>
      <c r="X480" s="78"/>
      <c r="Y480" s="78"/>
      <c r="Z480" s="78"/>
      <c r="AA480" s="78"/>
      <c r="AB480" s="78"/>
    </row>
    <row r="481" spans="1:28" s="75" customFormat="1" ht="23.25" customHeight="1">
      <c r="A481" s="37" t="s">
        <v>588</v>
      </c>
      <c r="B481" s="37">
        <v>1</v>
      </c>
      <c r="C481" s="37"/>
      <c r="D481" s="37"/>
      <c r="E481" s="37"/>
      <c r="F481" s="37">
        <v>5</v>
      </c>
      <c r="G481" s="37"/>
      <c r="H481" s="37"/>
      <c r="I481" s="37"/>
      <c r="J481" s="37">
        <v>510</v>
      </c>
      <c r="K481" s="272">
        <v>3233</v>
      </c>
      <c r="L481" s="327" t="s">
        <v>601</v>
      </c>
      <c r="M481" s="422">
        <f>50000/7.5345</f>
        <v>6636.140420731303</v>
      </c>
      <c r="N481" s="422">
        <f>50000/7.5345</f>
        <v>6636.140420731303</v>
      </c>
      <c r="O481" s="422">
        <v>50000</v>
      </c>
      <c r="P481" s="422">
        <f>50000/7.5345</f>
        <v>6636.140420731303</v>
      </c>
      <c r="Q481" s="422">
        <v>0</v>
      </c>
      <c r="R481" s="422">
        <v>0</v>
      </c>
      <c r="S481" s="422"/>
      <c r="T481" s="437">
        <f t="shared" si="197"/>
        <v>0</v>
      </c>
      <c r="U481" s="437" t="e">
        <f t="shared" si="198"/>
        <v>#DIV/0!</v>
      </c>
      <c r="V481" s="78"/>
      <c r="W481" s="78"/>
      <c r="X481" s="78"/>
      <c r="Y481" s="78"/>
      <c r="Z481" s="78"/>
      <c r="AA481" s="78"/>
      <c r="AB481" s="78"/>
    </row>
    <row r="482" spans="1:28" s="75" customFormat="1" ht="18.75" customHeight="1">
      <c r="A482" s="37" t="s">
        <v>588</v>
      </c>
      <c r="B482" s="37">
        <v>1</v>
      </c>
      <c r="C482" s="37"/>
      <c r="D482" s="37"/>
      <c r="E482" s="37"/>
      <c r="F482" s="37">
        <v>5</v>
      </c>
      <c r="G482" s="37"/>
      <c r="H482" s="37"/>
      <c r="I482" s="37"/>
      <c r="J482" s="37">
        <v>510</v>
      </c>
      <c r="K482" s="272">
        <v>4</v>
      </c>
      <c r="L482" s="273" t="s">
        <v>0</v>
      </c>
      <c r="M482" s="422">
        <f aca="true" t="shared" si="200" ref="M482:S482">M483+M492</f>
        <v>0</v>
      </c>
      <c r="N482" s="422">
        <f t="shared" si="200"/>
        <v>72997.54462804433</v>
      </c>
      <c r="O482" s="437">
        <f t="shared" si="200"/>
        <v>550000</v>
      </c>
      <c r="P482" s="437">
        <f t="shared" si="200"/>
        <v>72997.54462804433</v>
      </c>
      <c r="Q482" s="437">
        <f t="shared" si="200"/>
        <v>25712.5</v>
      </c>
      <c r="R482" s="437">
        <f t="shared" si="200"/>
        <v>70838.25</v>
      </c>
      <c r="S482" s="437">
        <f t="shared" si="200"/>
        <v>25712.5</v>
      </c>
      <c r="T482" s="437" t="e">
        <f t="shared" si="197"/>
        <v>#DIV/0!</v>
      </c>
      <c r="U482" s="437">
        <f t="shared" si="198"/>
        <v>36.29748052782219</v>
      </c>
      <c r="V482" s="78"/>
      <c r="W482" s="78"/>
      <c r="X482" s="78"/>
      <c r="Y482" s="78"/>
      <c r="Z482" s="78"/>
      <c r="AA482" s="78"/>
      <c r="AB482" s="78"/>
    </row>
    <row r="483" spans="1:28" s="75" customFormat="1" ht="18.75" customHeight="1">
      <c r="A483" s="37" t="s">
        <v>588</v>
      </c>
      <c r="B483" s="37">
        <v>1</v>
      </c>
      <c r="C483" s="37"/>
      <c r="D483" s="37"/>
      <c r="E483" s="37"/>
      <c r="F483" s="37">
        <v>5</v>
      </c>
      <c r="G483" s="37"/>
      <c r="H483" s="37"/>
      <c r="I483" s="37"/>
      <c r="J483" s="37">
        <v>510</v>
      </c>
      <c r="K483" s="274">
        <v>42</v>
      </c>
      <c r="L483" s="278" t="s">
        <v>5</v>
      </c>
      <c r="M483" s="422">
        <f aca="true" t="shared" si="201" ref="M483:S483">M484+M490</f>
        <v>0</v>
      </c>
      <c r="N483" s="422">
        <f t="shared" si="201"/>
        <v>71670.31654389806</v>
      </c>
      <c r="O483" s="437">
        <f t="shared" si="201"/>
        <v>540000</v>
      </c>
      <c r="P483" s="437">
        <f t="shared" si="201"/>
        <v>71670.31654389806</v>
      </c>
      <c r="Q483" s="437">
        <f t="shared" si="201"/>
        <v>25712.5</v>
      </c>
      <c r="R483" s="437">
        <f t="shared" si="201"/>
        <v>70838.25</v>
      </c>
      <c r="S483" s="437">
        <f t="shared" si="201"/>
        <v>25712.5</v>
      </c>
      <c r="T483" s="437" t="e">
        <f t="shared" si="197"/>
        <v>#DIV/0!</v>
      </c>
      <c r="U483" s="437">
        <f t="shared" si="198"/>
        <v>36.29748052782219</v>
      </c>
      <c r="V483" s="78"/>
      <c r="W483" s="78"/>
      <c r="X483" s="78"/>
      <c r="Y483" s="78"/>
      <c r="Z483" s="78"/>
      <c r="AA483" s="78"/>
      <c r="AB483" s="78"/>
    </row>
    <row r="484" spans="1:28" s="75" customFormat="1" ht="20.25" customHeight="1">
      <c r="A484" s="37" t="s">
        <v>588</v>
      </c>
      <c r="B484" s="37">
        <v>1</v>
      </c>
      <c r="C484" s="37"/>
      <c r="D484" s="37"/>
      <c r="E484" s="37"/>
      <c r="F484" s="37">
        <v>5</v>
      </c>
      <c r="G484" s="37"/>
      <c r="H484" s="37"/>
      <c r="I484" s="37"/>
      <c r="J484" s="37">
        <v>510</v>
      </c>
      <c r="K484" s="272">
        <v>422</v>
      </c>
      <c r="L484" s="273" t="s">
        <v>337</v>
      </c>
      <c r="M484" s="422">
        <f aca="true" t="shared" si="202" ref="M484:S484">M485+M489</f>
        <v>0</v>
      </c>
      <c r="N484" s="422">
        <f t="shared" si="202"/>
        <v>71670.31654389806</v>
      </c>
      <c r="O484" s="437">
        <f t="shared" si="202"/>
        <v>540000</v>
      </c>
      <c r="P484" s="437">
        <f t="shared" si="202"/>
        <v>71670.31654389806</v>
      </c>
      <c r="Q484" s="437">
        <f t="shared" si="202"/>
        <v>25712.5</v>
      </c>
      <c r="R484" s="437">
        <f t="shared" si="202"/>
        <v>70838.25</v>
      </c>
      <c r="S484" s="437">
        <f t="shared" si="202"/>
        <v>25712.5</v>
      </c>
      <c r="T484" s="437" t="e">
        <f t="shared" si="197"/>
        <v>#DIV/0!</v>
      </c>
      <c r="U484" s="437">
        <f t="shared" si="198"/>
        <v>36.29748052782219</v>
      </c>
      <c r="V484" s="78"/>
      <c r="W484" s="78"/>
      <c r="X484" s="78"/>
      <c r="Y484" s="78"/>
      <c r="Z484" s="78"/>
      <c r="AA484" s="78"/>
      <c r="AB484" s="78"/>
    </row>
    <row r="485" spans="1:28" s="75" customFormat="1" ht="24" customHeight="1">
      <c r="A485" s="37" t="s">
        <v>588</v>
      </c>
      <c r="B485" s="37">
        <v>1</v>
      </c>
      <c r="C485" s="37"/>
      <c r="D485" s="37"/>
      <c r="E485" s="37"/>
      <c r="F485" s="37">
        <v>5</v>
      </c>
      <c r="G485" s="37"/>
      <c r="H485" s="37"/>
      <c r="I485" s="37"/>
      <c r="J485" s="37">
        <v>510</v>
      </c>
      <c r="K485" s="42">
        <v>4227</v>
      </c>
      <c r="L485" s="327" t="s">
        <v>519</v>
      </c>
      <c r="M485" s="422">
        <v>0</v>
      </c>
      <c r="N485" s="422">
        <f>200000/7.5345</f>
        <v>26544.56168292521</v>
      </c>
      <c r="O485" s="422">
        <v>200000</v>
      </c>
      <c r="P485" s="422">
        <f>200000/7.5345</f>
        <v>26544.56168292521</v>
      </c>
      <c r="Q485" s="422">
        <v>25712.5</v>
      </c>
      <c r="R485" s="422">
        <v>25712.5</v>
      </c>
      <c r="S485" s="422">
        <v>25712.5</v>
      </c>
      <c r="T485" s="437" t="e">
        <f t="shared" si="197"/>
        <v>#DIV/0!</v>
      </c>
      <c r="U485" s="437">
        <f t="shared" si="198"/>
        <v>100</v>
      </c>
      <c r="V485" s="78"/>
      <c r="W485" s="78"/>
      <c r="X485" s="78"/>
      <c r="Y485" s="78"/>
      <c r="Z485" s="78"/>
      <c r="AA485" s="78"/>
      <c r="AB485" s="78"/>
    </row>
    <row r="486" spans="1:28" s="75" customFormat="1" ht="0.75" customHeight="1">
      <c r="A486" s="37" t="s">
        <v>588</v>
      </c>
      <c r="B486" s="37">
        <v>1</v>
      </c>
      <c r="C486" s="37"/>
      <c r="D486" s="37"/>
      <c r="E486" s="37"/>
      <c r="F486" s="37"/>
      <c r="G486" s="37"/>
      <c r="H486" s="37"/>
      <c r="I486" s="37"/>
      <c r="J486" s="37">
        <v>510</v>
      </c>
      <c r="K486" s="42">
        <v>4227</v>
      </c>
      <c r="L486" s="88" t="s">
        <v>110</v>
      </c>
      <c r="M486" s="422"/>
      <c r="N486" s="422"/>
      <c r="O486" s="422"/>
      <c r="P486" s="422"/>
      <c r="Q486" s="422"/>
      <c r="R486" s="422"/>
      <c r="S486" s="422"/>
      <c r="T486" s="437" t="e">
        <f t="shared" si="197"/>
        <v>#DIV/0!</v>
      </c>
      <c r="U486" s="437" t="e">
        <f t="shared" si="198"/>
        <v>#DIV/0!</v>
      </c>
      <c r="V486" s="78"/>
      <c r="W486" s="78"/>
      <c r="X486" s="78"/>
      <c r="Y486" s="78"/>
      <c r="Z486" s="78"/>
      <c r="AA486" s="78"/>
      <c r="AB486" s="78"/>
    </row>
    <row r="487" spans="1:28" s="75" customFormat="1" ht="21" customHeight="1" hidden="1">
      <c r="A487" s="37" t="s">
        <v>588</v>
      </c>
      <c r="B487" s="37">
        <v>1</v>
      </c>
      <c r="C487" s="37"/>
      <c r="D487" s="37"/>
      <c r="E487" s="37"/>
      <c r="F487" s="37"/>
      <c r="G487" s="37"/>
      <c r="H487" s="37"/>
      <c r="I487" s="37"/>
      <c r="J487" s="37">
        <v>510</v>
      </c>
      <c r="K487" s="42">
        <v>4227</v>
      </c>
      <c r="L487" s="88" t="s">
        <v>109</v>
      </c>
      <c r="M487" s="422"/>
      <c r="N487" s="422"/>
      <c r="O487" s="422"/>
      <c r="P487" s="422"/>
      <c r="Q487" s="422"/>
      <c r="R487" s="422"/>
      <c r="S487" s="422"/>
      <c r="T487" s="437" t="e">
        <f t="shared" si="197"/>
        <v>#DIV/0!</v>
      </c>
      <c r="U487" s="437" t="e">
        <f t="shared" si="198"/>
        <v>#DIV/0!</v>
      </c>
      <c r="V487" s="78"/>
      <c r="W487" s="78"/>
      <c r="X487" s="78"/>
      <c r="Y487" s="78"/>
      <c r="Z487" s="78"/>
      <c r="AA487" s="78"/>
      <c r="AB487" s="78"/>
    </row>
    <row r="488" spans="1:28" s="75" customFormat="1" ht="24" customHeight="1" hidden="1">
      <c r="A488" s="37" t="s">
        <v>588</v>
      </c>
      <c r="B488" s="37">
        <v>1</v>
      </c>
      <c r="C488" s="37"/>
      <c r="D488" s="37"/>
      <c r="E488" s="37"/>
      <c r="F488" s="37"/>
      <c r="G488" s="37"/>
      <c r="H488" s="37"/>
      <c r="I488" s="37"/>
      <c r="J488" s="37">
        <v>510</v>
      </c>
      <c r="K488" s="36">
        <v>4227</v>
      </c>
      <c r="L488" s="88" t="s">
        <v>108</v>
      </c>
      <c r="M488" s="428"/>
      <c r="N488" s="428"/>
      <c r="O488" s="428"/>
      <c r="P488" s="428"/>
      <c r="Q488" s="428"/>
      <c r="R488" s="428"/>
      <c r="S488" s="428"/>
      <c r="T488" s="437" t="e">
        <f t="shared" si="197"/>
        <v>#DIV/0!</v>
      </c>
      <c r="U488" s="437" t="e">
        <f t="shared" si="198"/>
        <v>#DIV/0!</v>
      </c>
      <c r="V488" s="78"/>
      <c r="W488" s="78"/>
      <c r="X488" s="78"/>
      <c r="Y488" s="78"/>
      <c r="Z488" s="78"/>
      <c r="AA488" s="78"/>
      <c r="AB488" s="78"/>
    </row>
    <row r="489" spans="1:28" s="75" customFormat="1" ht="18" customHeight="1">
      <c r="A489" s="37" t="s">
        <v>588</v>
      </c>
      <c r="B489" s="37">
        <v>1</v>
      </c>
      <c r="C489" s="37"/>
      <c r="D489" s="37"/>
      <c r="E489" s="37"/>
      <c r="F489" s="37"/>
      <c r="G489" s="37"/>
      <c r="H489" s="37"/>
      <c r="I489" s="37"/>
      <c r="J489" s="37">
        <v>510</v>
      </c>
      <c r="K489" s="36">
        <v>4227</v>
      </c>
      <c r="L489" s="330" t="s">
        <v>518</v>
      </c>
      <c r="M489" s="428">
        <v>0</v>
      </c>
      <c r="N489" s="428">
        <f>340000/7.5345</f>
        <v>45125.754860972855</v>
      </c>
      <c r="O489" s="428">
        <v>340000</v>
      </c>
      <c r="P489" s="428">
        <f>340000/7.5345</f>
        <v>45125.754860972855</v>
      </c>
      <c r="Q489" s="428">
        <v>0</v>
      </c>
      <c r="R489" s="428">
        <v>45125.75</v>
      </c>
      <c r="S489" s="428"/>
      <c r="T489" s="437" t="e">
        <f t="shared" si="197"/>
        <v>#DIV/0!</v>
      </c>
      <c r="U489" s="437">
        <f t="shared" si="198"/>
        <v>0</v>
      </c>
      <c r="V489" s="78"/>
      <c r="W489" s="78"/>
      <c r="X489" s="78"/>
      <c r="Y489" s="78"/>
      <c r="Z489" s="78"/>
      <c r="AA489" s="78"/>
      <c r="AB489" s="78"/>
    </row>
    <row r="490" spans="1:28" s="75" customFormat="1" ht="18" customHeight="1">
      <c r="A490" s="37" t="s">
        <v>588</v>
      </c>
      <c r="B490" s="37">
        <v>1</v>
      </c>
      <c r="C490" s="37"/>
      <c r="D490" s="37"/>
      <c r="E490" s="37"/>
      <c r="F490" s="37"/>
      <c r="G490" s="37"/>
      <c r="H490" s="37"/>
      <c r="I490" s="37"/>
      <c r="J490" s="37">
        <v>510</v>
      </c>
      <c r="K490" s="280">
        <v>423</v>
      </c>
      <c r="L490" s="281" t="s">
        <v>15</v>
      </c>
      <c r="M490" s="428">
        <f aca="true" t="shared" si="203" ref="M490:S490">M491</f>
        <v>0</v>
      </c>
      <c r="N490" s="428">
        <f t="shared" si="203"/>
        <v>0</v>
      </c>
      <c r="O490" s="465">
        <f t="shared" si="203"/>
        <v>0</v>
      </c>
      <c r="P490" s="465">
        <f t="shared" si="203"/>
        <v>0</v>
      </c>
      <c r="Q490" s="465">
        <f t="shared" si="203"/>
        <v>0</v>
      </c>
      <c r="R490" s="465">
        <f t="shared" si="203"/>
        <v>0</v>
      </c>
      <c r="S490" s="465">
        <f t="shared" si="203"/>
        <v>0</v>
      </c>
      <c r="T490" s="437" t="e">
        <f t="shared" si="197"/>
        <v>#DIV/0!</v>
      </c>
      <c r="U490" s="437" t="e">
        <f t="shared" si="198"/>
        <v>#DIV/0!</v>
      </c>
      <c r="V490" s="78"/>
      <c r="W490" s="78"/>
      <c r="X490" s="78"/>
      <c r="Y490" s="78"/>
      <c r="Z490" s="78"/>
      <c r="AA490" s="78"/>
      <c r="AB490" s="78"/>
    </row>
    <row r="491" spans="1:28" s="75" customFormat="1" ht="20.25" customHeight="1">
      <c r="A491" s="37" t="s">
        <v>588</v>
      </c>
      <c r="B491" s="37">
        <v>1</v>
      </c>
      <c r="C491" s="37"/>
      <c r="D491" s="37"/>
      <c r="E491" s="37"/>
      <c r="F491" s="37"/>
      <c r="G491" s="37"/>
      <c r="H491" s="37"/>
      <c r="I491" s="37"/>
      <c r="J491" s="37">
        <v>510</v>
      </c>
      <c r="K491" s="36">
        <v>42314</v>
      </c>
      <c r="L491" s="330" t="s">
        <v>526</v>
      </c>
      <c r="M491" s="428">
        <v>0</v>
      </c>
      <c r="N491" s="428">
        <v>0</v>
      </c>
      <c r="O491" s="428">
        <v>0</v>
      </c>
      <c r="P491" s="428">
        <v>0</v>
      </c>
      <c r="Q491" s="428">
        <v>0</v>
      </c>
      <c r="R491" s="428">
        <v>0</v>
      </c>
      <c r="S491" s="428"/>
      <c r="T491" s="437" t="e">
        <f t="shared" si="197"/>
        <v>#DIV/0!</v>
      </c>
      <c r="U491" s="437" t="e">
        <f t="shared" si="198"/>
        <v>#DIV/0!</v>
      </c>
      <c r="V491" s="78"/>
      <c r="W491" s="78"/>
      <c r="X491" s="78"/>
      <c r="Y491" s="78"/>
      <c r="Z491" s="78"/>
      <c r="AA491" s="78"/>
      <c r="AB491" s="78"/>
    </row>
    <row r="492" spans="1:28" s="75" customFormat="1" ht="15.75">
      <c r="A492" s="37" t="s">
        <v>588</v>
      </c>
      <c r="B492" s="37">
        <v>1</v>
      </c>
      <c r="C492" s="37"/>
      <c r="D492" s="37"/>
      <c r="E492" s="37"/>
      <c r="F492" s="37"/>
      <c r="G492" s="37"/>
      <c r="H492" s="37"/>
      <c r="I492" s="37"/>
      <c r="J492" s="37">
        <v>510</v>
      </c>
      <c r="K492" s="280">
        <v>45</v>
      </c>
      <c r="L492" s="337" t="s">
        <v>378</v>
      </c>
      <c r="M492" s="428">
        <f aca="true" t="shared" si="204" ref="M492:S493">M493</f>
        <v>0</v>
      </c>
      <c r="N492" s="428">
        <f t="shared" si="204"/>
        <v>1327.2280841462605</v>
      </c>
      <c r="O492" s="465">
        <f t="shared" si="204"/>
        <v>10000</v>
      </c>
      <c r="P492" s="465">
        <f t="shared" si="204"/>
        <v>1327.2280841462605</v>
      </c>
      <c r="Q492" s="465">
        <f t="shared" si="204"/>
        <v>0</v>
      </c>
      <c r="R492" s="465">
        <f t="shared" si="204"/>
        <v>0</v>
      </c>
      <c r="S492" s="465">
        <f t="shared" si="204"/>
        <v>0</v>
      </c>
      <c r="T492" s="437" t="e">
        <f t="shared" si="197"/>
        <v>#DIV/0!</v>
      </c>
      <c r="U492" s="437" t="e">
        <f t="shared" si="198"/>
        <v>#DIV/0!</v>
      </c>
      <c r="V492" s="78"/>
      <c r="W492" s="78"/>
      <c r="X492" s="78"/>
      <c r="Y492" s="78"/>
      <c r="Z492" s="78"/>
      <c r="AA492" s="78"/>
      <c r="AB492" s="78"/>
    </row>
    <row r="493" spans="1:28" s="75" customFormat="1" ht="23.25" customHeight="1">
      <c r="A493" s="37" t="s">
        <v>588</v>
      </c>
      <c r="B493" s="37">
        <v>1</v>
      </c>
      <c r="C493" s="37"/>
      <c r="D493" s="37"/>
      <c r="E493" s="37"/>
      <c r="F493" s="37"/>
      <c r="G493" s="37"/>
      <c r="H493" s="37"/>
      <c r="I493" s="37"/>
      <c r="J493" s="37">
        <v>510</v>
      </c>
      <c r="K493" s="280">
        <v>453</v>
      </c>
      <c r="L493" s="281" t="s">
        <v>310</v>
      </c>
      <c r="M493" s="428">
        <f t="shared" si="204"/>
        <v>0</v>
      </c>
      <c r="N493" s="428">
        <f t="shared" si="204"/>
        <v>1327.2280841462605</v>
      </c>
      <c r="O493" s="465">
        <f t="shared" si="204"/>
        <v>10000</v>
      </c>
      <c r="P493" s="465">
        <f t="shared" si="204"/>
        <v>1327.2280841462605</v>
      </c>
      <c r="Q493" s="465">
        <f t="shared" si="204"/>
        <v>0</v>
      </c>
      <c r="R493" s="465">
        <f t="shared" si="204"/>
        <v>0</v>
      </c>
      <c r="S493" s="465">
        <f t="shared" si="204"/>
        <v>0</v>
      </c>
      <c r="T493" s="437" t="e">
        <f t="shared" si="197"/>
        <v>#DIV/0!</v>
      </c>
      <c r="U493" s="437" t="e">
        <f t="shared" si="198"/>
        <v>#DIV/0!</v>
      </c>
      <c r="V493" s="78"/>
      <c r="W493" s="78"/>
      <c r="X493" s="78"/>
      <c r="Y493" s="78"/>
      <c r="Z493" s="78"/>
      <c r="AA493" s="78"/>
      <c r="AB493" s="78"/>
    </row>
    <row r="494" spans="1:28" s="75" customFormat="1" ht="18" customHeight="1">
      <c r="A494" s="37" t="s">
        <v>588</v>
      </c>
      <c r="B494" s="37">
        <v>1</v>
      </c>
      <c r="C494" s="37"/>
      <c r="D494" s="37"/>
      <c r="E494" s="37"/>
      <c r="F494" s="37"/>
      <c r="G494" s="37"/>
      <c r="H494" s="37"/>
      <c r="I494" s="37"/>
      <c r="J494" s="37">
        <v>510</v>
      </c>
      <c r="K494" s="36">
        <v>4531</v>
      </c>
      <c r="L494" s="96" t="s">
        <v>310</v>
      </c>
      <c r="M494" s="424">
        <v>0</v>
      </c>
      <c r="N494" s="424">
        <f>10000/7.5345</f>
        <v>1327.2280841462605</v>
      </c>
      <c r="O494" s="424">
        <v>10000</v>
      </c>
      <c r="P494" s="424">
        <f>10000/7.5345</f>
        <v>1327.2280841462605</v>
      </c>
      <c r="Q494" s="424">
        <v>0</v>
      </c>
      <c r="R494" s="424">
        <v>0</v>
      </c>
      <c r="S494" s="424"/>
      <c r="T494" s="437" t="e">
        <f t="shared" si="197"/>
        <v>#DIV/0!</v>
      </c>
      <c r="U494" s="437" t="e">
        <f t="shared" si="198"/>
        <v>#DIV/0!</v>
      </c>
      <c r="V494" s="78"/>
      <c r="W494" s="78"/>
      <c r="X494" s="78"/>
      <c r="Y494" s="78"/>
      <c r="Z494" s="78"/>
      <c r="AA494" s="78"/>
      <c r="AB494" s="78"/>
    </row>
    <row r="495" spans="1:36" s="128" customFormat="1" ht="15.75">
      <c r="A495" s="125"/>
      <c r="B495" s="125"/>
      <c r="C495" s="125"/>
      <c r="D495" s="125"/>
      <c r="E495" s="125"/>
      <c r="F495" s="125"/>
      <c r="G495" s="125"/>
      <c r="H495" s="125"/>
      <c r="I495" s="125"/>
      <c r="J495" s="125"/>
      <c r="K495" s="126"/>
      <c r="L495" s="127" t="s">
        <v>86</v>
      </c>
      <c r="M495" s="421">
        <f aca="true" t="shared" si="205" ref="M495:S495">M478+M482</f>
        <v>6636.140420731303</v>
      </c>
      <c r="N495" s="421">
        <f t="shared" si="205"/>
        <v>79633.68504877563</v>
      </c>
      <c r="O495" s="421">
        <f t="shared" si="205"/>
        <v>600000</v>
      </c>
      <c r="P495" s="421">
        <f t="shared" si="205"/>
        <v>79633.68504877563</v>
      </c>
      <c r="Q495" s="421">
        <f t="shared" si="205"/>
        <v>25712.5</v>
      </c>
      <c r="R495" s="421">
        <f t="shared" si="205"/>
        <v>70838.25</v>
      </c>
      <c r="S495" s="421">
        <f t="shared" si="205"/>
        <v>25712.5</v>
      </c>
      <c r="T495" s="421">
        <f t="shared" si="197"/>
        <v>387.46166250000005</v>
      </c>
      <c r="U495" s="421">
        <f t="shared" si="198"/>
        <v>36.29748052782219</v>
      </c>
      <c r="V495" s="78"/>
      <c r="W495" s="78"/>
      <c r="X495" s="78"/>
      <c r="Y495" s="78"/>
      <c r="Z495" s="78"/>
      <c r="AA495" s="78"/>
      <c r="AB495" s="78"/>
      <c r="AC495" s="75"/>
      <c r="AD495" s="75"/>
      <c r="AE495" s="75"/>
      <c r="AF495" s="75"/>
      <c r="AG495" s="75"/>
      <c r="AH495" s="75"/>
      <c r="AI495" s="75"/>
      <c r="AJ495" s="75"/>
    </row>
    <row r="496" spans="1:36" s="46" customFormat="1" ht="15.75">
      <c r="A496" s="19"/>
      <c r="B496" s="19"/>
      <c r="C496" s="19"/>
      <c r="D496" s="19"/>
      <c r="E496" s="19"/>
      <c r="F496" s="19"/>
      <c r="G496" s="19"/>
      <c r="H496" s="19"/>
      <c r="I496" s="19"/>
      <c r="J496" s="19"/>
      <c r="K496" s="13"/>
      <c r="L496" s="53"/>
      <c r="M496" s="429"/>
      <c r="N496" s="429"/>
      <c r="O496" s="429"/>
      <c r="P496" s="429"/>
      <c r="Q496" s="429"/>
      <c r="R496" s="429"/>
      <c r="S496" s="429"/>
      <c r="T496" s="429"/>
      <c r="U496" s="429"/>
      <c r="V496" s="78"/>
      <c r="W496" s="78"/>
      <c r="X496" s="78"/>
      <c r="Y496" s="78"/>
      <c r="Z496" s="78"/>
      <c r="AA496" s="78"/>
      <c r="AB496" s="78"/>
      <c r="AC496" s="78"/>
      <c r="AD496" s="78"/>
      <c r="AE496" s="78"/>
      <c r="AF496" s="78"/>
      <c r="AG496" s="78"/>
      <c r="AH496" s="78"/>
      <c r="AI496" s="78"/>
      <c r="AJ496" s="78"/>
    </row>
    <row r="497" spans="1:36" s="212" customFormat="1" ht="15.75">
      <c r="A497" s="79" t="s">
        <v>216</v>
      </c>
      <c r="B497" s="79"/>
      <c r="C497" s="79"/>
      <c r="D497" s="79"/>
      <c r="E497" s="79"/>
      <c r="F497" s="79"/>
      <c r="G497" s="79"/>
      <c r="H497" s="79"/>
      <c r="I497" s="79"/>
      <c r="J497" s="79"/>
      <c r="K497" s="41" t="s">
        <v>215</v>
      </c>
      <c r="L497" s="329" t="s">
        <v>338</v>
      </c>
      <c r="M497" s="430"/>
      <c r="N497" s="430"/>
      <c r="O497" s="430"/>
      <c r="P497" s="430"/>
      <c r="Q497" s="430"/>
      <c r="R497" s="430"/>
      <c r="S497" s="430"/>
      <c r="T497" s="430"/>
      <c r="U497" s="430"/>
      <c r="V497" s="78"/>
      <c r="W497" s="78"/>
      <c r="X497" s="78"/>
      <c r="Y497" s="78"/>
      <c r="Z497" s="78"/>
      <c r="AA497" s="78"/>
      <c r="AB497" s="78"/>
      <c r="AC497" s="78"/>
      <c r="AD497" s="78"/>
      <c r="AE497" s="78"/>
      <c r="AF497" s="78"/>
      <c r="AG497" s="78"/>
      <c r="AH497" s="78"/>
      <c r="AI497" s="78"/>
      <c r="AJ497" s="78"/>
    </row>
    <row r="498" spans="1:36" s="212" customFormat="1" ht="15">
      <c r="A498" s="79" t="s">
        <v>589</v>
      </c>
      <c r="B498" s="79"/>
      <c r="C498" s="79"/>
      <c r="D498" s="79"/>
      <c r="E498" s="79"/>
      <c r="F498" s="79"/>
      <c r="G498" s="79"/>
      <c r="H498" s="79"/>
      <c r="I498" s="79"/>
      <c r="J498" s="79"/>
      <c r="K498" s="41" t="s">
        <v>48</v>
      </c>
      <c r="L498" s="369" t="s">
        <v>339</v>
      </c>
      <c r="M498" s="430"/>
      <c r="N498" s="430"/>
      <c r="O498" s="430"/>
      <c r="P498" s="430"/>
      <c r="Q498" s="430"/>
      <c r="R498" s="430"/>
      <c r="S498" s="430"/>
      <c r="T498" s="430"/>
      <c r="U498" s="430"/>
      <c r="V498" s="78"/>
      <c r="W498" s="78"/>
      <c r="X498" s="78"/>
      <c r="Y498" s="78"/>
      <c r="Z498" s="78"/>
      <c r="AA498" s="78"/>
      <c r="AB498" s="78"/>
      <c r="AC498" s="78"/>
      <c r="AD498" s="78"/>
      <c r="AE498" s="78"/>
      <c r="AF498" s="78"/>
      <c r="AG498" s="78"/>
      <c r="AH498" s="78"/>
      <c r="AI498" s="78"/>
      <c r="AJ498" s="78"/>
    </row>
    <row r="499" spans="1:28" s="75" customFormat="1" ht="15.75">
      <c r="A499" s="37" t="s">
        <v>589</v>
      </c>
      <c r="B499" s="37">
        <v>1</v>
      </c>
      <c r="C499" s="37"/>
      <c r="D499" s="37"/>
      <c r="E499" s="37"/>
      <c r="F499" s="37"/>
      <c r="G499" s="37"/>
      <c r="H499" s="37"/>
      <c r="I499" s="37"/>
      <c r="J499" s="37">
        <v>510</v>
      </c>
      <c r="K499" s="272">
        <v>4</v>
      </c>
      <c r="L499" s="273" t="s">
        <v>0</v>
      </c>
      <c r="M499" s="422">
        <f aca="true" t="shared" si="206" ref="M499:S499">M500</f>
        <v>0</v>
      </c>
      <c r="N499" s="422">
        <f t="shared" si="206"/>
        <v>12608.666799389473</v>
      </c>
      <c r="O499" s="437">
        <f t="shared" si="206"/>
        <v>1095000</v>
      </c>
      <c r="P499" s="437">
        <f t="shared" si="206"/>
        <v>12608.666799389473</v>
      </c>
      <c r="Q499" s="437">
        <f t="shared" si="206"/>
        <v>0</v>
      </c>
      <c r="R499" s="437">
        <f t="shared" si="206"/>
        <v>0</v>
      </c>
      <c r="S499" s="437">
        <f t="shared" si="206"/>
        <v>0</v>
      </c>
      <c r="T499" s="437" t="e">
        <f>S499/M499*100</f>
        <v>#DIV/0!</v>
      </c>
      <c r="U499" s="437" t="e">
        <f>S499/R499*100</f>
        <v>#DIV/0!</v>
      </c>
      <c r="V499" s="78"/>
      <c r="W499" s="78"/>
      <c r="X499" s="78"/>
      <c r="Y499" s="78"/>
      <c r="Z499" s="78"/>
      <c r="AA499" s="78"/>
      <c r="AB499" s="78"/>
    </row>
    <row r="500" spans="1:28" s="75" customFormat="1" ht="15">
      <c r="A500" s="37" t="s">
        <v>589</v>
      </c>
      <c r="B500" s="37">
        <v>1</v>
      </c>
      <c r="C500" s="37"/>
      <c r="D500" s="37"/>
      <c r="E500" s="37"/>
      <c r="F500" s="37"/>
      <c r="G500" s="37"/>
      <c r="H500" s="37"/>
      <c r="I500" s="37"/>
      <c r="J500" s="37">
        <v>510</v>
      </c>
      <c r="K500" s="274">
        <v>42</v>
      </c>
      <c r="L500" s="278" t="s">
        <v>5</v>
      </c>
      <c r="M500" s="422">
        <f aca="true" t="shared" si="207" ref="M500:S500">M501+M505</f>
        <v>0</v>
      </c>
      <c r="N500" s="422">
        <f t="shared" si="207"/>
        <v>12608.666799389473</v>
      </c>
      <c r="O500" s="437">
        <f t="shared" si="207"/>
        <v>1095000</v>
      </c>
      <c r="P500" s="437">
        <f t="shared" si="207"/>
        <v>12608.666799389473</v>
      </c>
      <c r="Q500" s="437">
        <f t="shared" si="207"/>
        <v>0</v>
      </c>
      <c r="R500" s="437">
        <f t="shared" si="207"/>
        <v>0</v>
      </c>
      <c r="S500" s="437">
        <f t="shared" si="207"/>
        <v>0</v>
      </c>
      <c r="T500" s="437" t="e">
        <f aca="true" t="shared" si="208" ref="T500:T508">S500/M500*100</f>
        <v>#DIV/0!</v>
      </c>
      <c r="U500" s="437" t="e">
        <f aca="true" t="shared" si="209" ref="U500:U508">S500/R500*100</f>
        <v>#DIV/0!</v>
      </c>
      <c r="V500" s="78"/>
      <c r="W500" s="78"/>
      <c r="X500" s="78"/>
      <c r="Y500" s="78"/>
      <c r="Z500" s="78"/>
      <c r="AA500" s="78"/>
      <c r="AB500" s="78"/>
    </row>
    <row r="501" spans="1:28" s="75" customFormat="1" ht="26.25" customHeight="1">
      <c r="A501" s="37" t="s">
        <v>589</v>
      </c>
      <c r="B501" s="37">
        <v>1</v>
      </c>
      <c r="C501" s="37"/>
      <c r="D501" s="37"/>
      <c r="E501" s="37"/>
      <c r="F501" s="37"/>
      <c r="G501" s="37"/>
      <c r="H501" s="37"/>
      <c r="I501" s="37"/>
      <c r="J501" s="37">
        <v>510</v>
      </c>
      <c r="K501" s="272">
        <v>421</v>
      </c>
      <c r="L501" s="334" t="s">
        <v>248</v>
      </c>
      <c r="M501" s="422">
        <f aca="true" t="shared" si="210" ref="M501:S501">M502+M503+M504</f>
        <v>0</v>
      </c>
      <c r="N501" s="422">
        <f t="shared" si="210"/>
        <v>0</v>
      </c>
      <c r="O501" s="437">
        <f t="shared" si="210"/>
        <v>1000000</v>
      </c>
      <c r="P501" s="437">
        <f t="shared" si="210"/>
        <v>0</v>
      </c>
      <c r="Q501" s="437">
        <f t="shared" si="210"/>
        <v>0</v>
      </c>
      <c r="R501" s="437">
        <f t="shared" si="210"/>
        <v>0</v>
      </c>
      <c r="S501" s="437">
        <f t="shared" si="210"/>
        <v>0</v>
      </c>
      <c r="T501" s="437" t="e">
        <f t="shared" si="208"/>
        <v>#DIV/0!</v>
      </c>
      <c r="U501" s="437" t="e">
        <f t="shared" si="209"/>
        <v>#DIV/0!</v>
      </c>
      <c r="V501" s="78"/>
      <c r="W501" s="78"/>
      <c r="X501" s="78"/>
      <c r="Y501" s="78"/>
      <c r="Z501" s="78"/>
      <c r="AA501" s="78"/>
      <c r="AB501" s="78"/>
    </row>
    <row r="502" spans="1:28" s="75" customFormat="1" ht="34.5" customHeight="1">
      <c r="A502" s="37" t="s">
        <v>589</v>
      </c>
      <c r="B502" s="37">
        <v>1</v>
      </c>
      <c r="C502" s="37"/>
      <c r="D502" s="37"/>
      <c r="E502" s="37"/>
      <c r="F502" s="37"/>
      <c r="G502" s="37"/>
      <c r="H502" s="37"/>
      <c r="I502" s="37"/>
      <c r="J502" s="37">
        <v>510</v>
      </c>
      <c r="K502" s="42">
        <v>4212</v>
      </c>
      <c r="L502" s="330" t="s">
        <v>340</v>
      </c>
      <c r="M502" s="422">
        <v>0</v>
      </c>
      <c r="N502" s="422">
        <v>0</v>
      </c>
      <c r="O502" s="422">
        <v>1000000</v>
      </c>
      <c r="P502" s="422">
        <v>0</v>
      </c>
      <c r="Q502" s="422">
        <v>0</v>
      </c>
      <c r="R502" s="422"/>
      <c r="S502" s="422"/>
      <c r="T502" s="437" t="e">
        <f t="shared" si="208"/>
        <v>#DIV/0!</v>
      </c>
      <c r="U502" s="437" t="e">
        <f t="shared" si="209"/>
        <v>#DIV/0!</v>
      </c>
      <c r="V502" s="78"/>
      <c r="W502" s="78"/>
      <c r="X502" s="78"/>
      <c r="Y502" s="78"/>
      <c r="Z502" s="78"/>
      <c r="AA502" s="78"/>
      <c r="AB502" s="78"/>
    </row>
    <row r="503" spans="1:28" s="75" customFormat="1" ht="36.75" customHeight="1">
      <c r="A503" s="37" t="s">
        <v>589</v>
      </c>
      <c r="B503" s="37">
        <v>1</v>
      </c>
      <c r="C503" s="37"/>
      <c r="D503" s="37"/>
      <c r="E503" s="37"/>
      <c r="F503" s="37"/>
      <c r="G503" s="37"/>
      <c r="H503" s="37"/>
      <c r="I503" s="37"/>
      <c r="J503" s="37">
        <v>510</v>
      </c>
      <c r="K503" s="42">
        <v>4212</v>
      </c>
      <c r="L503" s="333" t="s">
        <v>521</v>
      </c>
      <c r="M503" s="422">
        <v>0</v>
      </c>
      <c r="N503" s="422">
        <v>0</v>
      </c>
      <c r="O503" s="422">
        <v>0</v>
      </c>
      <c r="P503" s="422">
        <v>0</v>
      </c>
      <c r="Q503" s="422">
        <v>0</v>
      </c>
      <c r="R503" s="422"/>
      <c r="S503" s="422"/>
      <c r="T503" s="437" t="e">
        <f t="shared" si="208"/>
        <v>#DIV/0!</v>
      </c>
      <c r="U503" s="437" t="e">
        <f t="shared" si="209"/>
        <v>#DIV/0!</v>
      </c>
      <c r="V503" s="78"/>
      <c r="W503" s="78"/>
      <c r="X503" s="78"/>
      <c r="Y503" s="78"/>
      <c r="Z503" s="78"/>
      <c r="AA503" s="78"/>
      <c r="AB503" s="78"/>
    </row>
    <row r="504" spans="1:28" s="75" customFormat="1" ht="26.25" customHeight="1">
      <c r="A504" s="37" t="s">
        <v>589</v>
      </c>
      <c r="B504" s="37">
        <v>1</v>
      </c>
      <c r="C504" s="37"/>
      <c r="D504" s="37"/>
      <c r="E504" s="37"/>
      <c r="F504" s="37"/>
      <c r="G504" s="37"/>
      <c r="H504" s="37"/>
      <c r="I504" s="37"/>
      <c r="J504" s="37">
        <v>510</v>
      </c>
      <c r="K504" s="42">
        <v>4212</v>
      </c>
      <c r="L504" s="88" t="s">
        <v>341</v>
      </c>
      <c r="M504" s="422">
        <v>0</v>
      </c>
      <c r="N504" s="422">
        <v>0</v>
      </c>
      <c r="O504" s="422">
        <v>0</v>
      </c>
      <c r="P504" s="422">
        <v>0</v>
      </c>
      <c r="Q504" s="422">
        <v>0</v>
      </c>
      <c r="R504" s="422"/>
      <c r="S504" s="422"/>
      <c r="T504" s="437" t="e">
        <f t="shared" si="208"/>
        <v>#DIV/0!</v>
      </c>
      <c r="U504" s="437" t="e">
        <f t="shared" si="209"/>
        <v>#DIV/0!</v>
      </c>
      <c r="V504" s="78"/>
      <c r="W504" s="78"/>
      <c r="X504" s="78"/>
      <c r="Y504" s="78"/>
      <c r="Z504" s="78"/>
      <c r="AA504" s="78"/>
      <c r="AB504" s="78"/>
    </row>
    <row r="505" spans="1:28" s="75" customFormat="1" ht="30" customHeight="1">
      <c r="A505" s="37" t="s">
        <v>589</v>
      </c>
      <c r="B505" s="37">
        <v>1</v>
      </c>
      <c r="C505" s="37"/>
      <c r="D505" s="37"/>
      <c r="E505" s="37"/>
      <c r="F505" s="37"/>
      <c r="G505" s="37"/>
      <c r="H505" s="37"/>
      <c r="I505" s="37"/>
      <c r="J505" s="37">
        <v>510</v>
      </c>
      <c r="K505" s="272">
        <v>426</v>
      </c>
      <c r="L505" s="343" t="s">
        <v>132</v>
      </c>
      <c r="M505" s="422">
        <f aca="true" t="shared" si="211" ref="M505:S505">M506+M507</f>
        <v>0</v>
      </c>
      <c r="N505" s="422">
        <f t="shared" si="211"/>
        <v>12608.666799389473</v>
      </c>
      <c r="O505" s="437">
        <f t="shared" si="211"/>
        <v>95000</v>
      </c>
      <c r="P505" s="437">
        <f t="shared" si="211"/>
        <v>12608.666799389473</v>
      </c>
      <c r="Q505" s="437">
        <f t="shared" si="211"/>
        <v>0</v>
      </c>
      <c r="R505" s="437">
        <f t="shared" si="211"/>
        <v>0</v>
      </c>
      <c r="S505" s="437">
        <f t="shared" si="211"/>
        <v>0</v>
      </c>
      <c r="T505" s="437" t="e">
        <f t="shared" si="208"/>
        <v>#DIV/0!</v>
      </c>
      <c r="U505" s="437" t="e">
        <f t="shared" si="209"/>
        <v>#DIV/0!</v>
      </c>
      <c r="V505" s="78"/>
      <c r="W505" s="78"/>
      <c r="X505" s="78"/>
      <c r="Y505" s="78"/>
      <c r="Z505" s="78"/>
      <c r="AA505" s="78"/>
      <c r="AB505" s="78"/>
    </row>
    <row r="506" spans="1:28" s="75" customFormat="1" ht="31.5" customHeight="1">
      <c r="A506" s="37" t="s">
        <v>589</v>
      </c>
      <c r="B506" s="37">
        <v>1</v>
      </c>
      <c r="C506" s="37"/>
      <c r="D506" s="37"/>
      <c r="E506" s="37"/>
      <c r="F506" s="37"/>
      <c r="G506" s="37"/>
      <c r="H506" s="37"/>
      <c r="I506" s="37"/>
      <c r="J506" s="37">
        <v>510</v>
      </c>
      <c r="K506" s="42">
        <v>4264</v>
      </c>
      <c r="L506" s="332" t="s">
        <v>508</v>
      </c>
      <c r="M506" s="422">
        <v>0</v>
      </c>
      <c r="N506" s="422">
        <f>44000/7.5345</f>
        <v>5839.803570243546</v>
      </c>
      <c r="O506" s="422">
        <v>44000</v>
      </c>
      <c r="P506" s="422">
        <f>44000/7.5345</f>
        <v>5839.803570243546</v>
      </c>
      <c r="Q506" s="422">
        <v>0</v>
      </c>
      <c r="R506" s="422">
        <v>0</v>
      </c>
      <c r="S506" s="422"/>
      <c r="T506" s="437" t="e">
        <f t="shared" si="208"/>
        <v>#DIV/0!</v>
      </c>
      <c r="U506" s="437" t="e">
        <f t="shared" si="209"/>
        <v>#DIV/0!</v>
      </c>
      <c r="V506" s="78"/>
      <c r="W506" s="78"/>
      <c r="X506" s="78"/>
      <c r="Y506" s="78"/>
      <c r="Z506" s="78"/>
      <c r="AA506" s="78"/>
      <c r="AB506" s="78"/>
    </row>
    <row r="507" spans="1:28" s="75" customFormat="1" ht="33" customHeight="1">
      <c r="A507" s="37" t="s">
        <v>589</v>
      </c>
      <c r="B507" s="37">
        <v>1</v>
      </c>
      <c r="C507" s="37"/>
      <c r="D507" s="37"/>
      <c r="E507" s="37"/>
      <c r="F507" s="37"/>
      <c r="G507" s="37"/>
      <c r="H507" s="37"/>
      <c r="I507" s="37"/>
      <c r="J507" s="37">
        <v>510</v>
      </c>
      <c r="K507" s="42">
        <v>4264</v>
      </c>
      <c r="L507" s="332" t="s">
        <v>374</v>
      </c>
      <c r="M507" s="422">
        <v>0</v>
      </c>
      <c r="N507" s="422">
        <f>51000/7.5345</f>
        <v>6768.863229145928</v>
      </c>
      <c r="O507" s="422">
        <v>51000</v>
      </c>
      <c r="P507" s="422">
        <f>51000/7.5345</f>
        <v>6768.863229145928</v>
      </c>
      <c r="Q507" s="422">
        <v>0</v>
      </c>
      <c r="R507" s="422">
        <v>0</v>
      </c>
      <c r="S507" s="422"/>
      <c r="T507" s="437" t="e">
        <f t="shared" si="208"/>
        <v>#DIV/0!</v>
      </c>
      <c r="U507" s="437" t="e">
        <f t="shared" si="209"/>
        <v>#DIV/0!</v>
      </c>
      <c r="V507" s="78"/>
      <c r="W507" s="78"/>
      <c r="X507" s="78"/>
      <c r="Y507" s="78"/>
      <c r="Z507" s="78"/>
      <c r="AA507" s="78"/>
      <c r="AB507" s="78"/>
    </row>
    <row r="508" spans="1:36" s="128" customFormat="1" ht="15.75">
      <c r="A508" s="125"/>
      <c r="B508" s="125"/>
      <c r="C508" s="125"/>
      <c r="D508" s="125"/>
      <c r="E508" s="125"/>
      <c r="F508" s="125"/>
      <c r="G508" s="125"/>
      <c r="H508" s="125"/>
      <c r="I508" s="125"/>
      <c r="J508" s="125"/>
      <c r="K508" s="126"/>
      <c r="L508" s="348" t="s">
        <v>137</v>
      </c>
      <c r="M508" s="421">
        <f aca="true" t="shared" si="212" ref="M508:S508">M499</f>
        <v>0</v>
      </c>
      <c r="N508" s="421">
        <f t="shared" si="212"/>
        <v>12608.666799389473</v>
      </c>
      <c r="O508" s="421">
        <f t="shared" si="212"/>
        <v>1095000</v>
      </c>
      <c r="P508" s="421">
        <f t="shared" si="212"/>
        <v>12608.666799389473</v>
      </c>
      <c r="Q508" s="421">
        <f t="shared" si="212"/>
        <v>0</v>
      </c>
      <c r="R508" s="421">
        <f t="shared" si="212"/>
        <v>0</v>
      </c>
      <c r="S508" s="421">
        <f t="shared" si="212"/>
        <v>0</v>
      </c>
      <c r="T508" s="421" t="e">
        <f t="shared" si="208"/>
        <v>#DIV/0!</v>
      </c>
      <c r="U508" s="421" t="e">
        <f t="shared" si="209"/>
        <v>#DIV/0!</v>
      </c>
      <c r="V508" s="78"/>
      <c r="W508" s="78"/>
      <c r="X508" s="78"/>
      <c r="Y508" s="78"/>
      <c r="Z508" s="78"/>
      <c r="AA508" s="78"/>
      <c r="AB508" s="78"/>
      <c r="AC508" s="75"/>
      <c r="AD508" s="75"/>
      <c r="AE508" s="75"/>
      <c r="AF508" s="75"/>
      <c r="AG508" s="75"/>
      <c r="AH508" s="75"/>
      <c r="AI508" s="75"/>
      <c r="AJ508" s="75"/>
    </row>
    <row r="509" spans="1:36" s="46" customFormat="1" ht="15.75">
      <c r="A509" s="19"/>
      <c r="B509" s="19"/>
      <c r="C509" s="19"/>
      <c r="D509" s="19"/>
      <c r="E509" s="19"/>
      <c r="F509" s="19"/>
      <c r="G509" s="19"/>
      <c r="H509" s="19"/>
      <c r="I509" s="19"/>
      <c r="J509" s="19"/>
      <c r="K509" s="13"/>
      <c r="L509" s="53"/>
      <c r="M509" s="429"/>
      <c r="N509" s="429"/>
      <c r="O509" s="429"/>
      <c r="P509" s="429"/>
      <c r="Q509" s="429"/>
      <c r="R509" s="429"/>
      <c r="S509" s="429"/>
      <c r="T509" s="429"/>
      <c r="U509" s="429"/>
      <c r="V509" s="78"/>
      <c r="W509" s="78"/>
      <c r="X509" s="78"/>
      <c r="Y509" s="78"/>
      <c r="Z509" s="78"/>
      <c r="AA509" s="78"/>
      <c r="AB509" s="78"/>
      <c r="AC509" s="78"/>
      <c r="AD509" s="78"/>
      <c r="AE509" s="78"/>
      <c r="AF509" s="78"/>
      <c r="AG509" s="78"/>
      <c r="AH509" s="78"/>
      <c r="AI509" s="78"/>
      <c r="AJ509" s="78"/>
    </row>
    <row r="510" spans="1:36" s="212" customFormat="1" ht="15" customHeight="1">
      <c r="A510" s="79" t="s">
        <v>219</v>
      </c>
      <c r="B510" s="79"/>
      <c r="C510" s="79"/>
      <c r="D510" s="79"/>
      <c r="E510" s="79"/>
      <c r="F510" s="79"/>
      <c r="G510" s="79"/>
      <c r="H510" s="79"/>
      <c r="I510" s="79"/>
      <c r="J510" s="79"/>
      <c r="K510" s="41" t="s">
        <v>217</v>
      </c>
      <c r="L510" s="616" t="s">
        <v>522</v>
      </c>
      <c r="M510" s="472"/>
      <c r="N510" s="472"/>
      <c r="O510" s="472"/>
      <c r="P510" s="472"/>
      <c r="Q510" s="472"/>
      <c r="R510" s="472"/>
      <c r="S510" s="472"/>
      <c r="T510" s="472"/>
      <c r="U510" s="472"/>
      <c r="V510" s="78"/>
      <c r="W510" s="78"/>
      <c r="X510" s="78"/>
      <c r="Y510" s="78"/>
      <c r="Z510" s="78"/>
      <c r="AA510" s="78"/>
      <c r="AB510" s="78"/>
      <c r="AC510" s="78"/>
      <c r="AD510" s="78"/>
      <c r="AE510" s="78"/>
      <c r="AF510" s="78"/>
      <c r="AG510" s="78"/>
      <c r="AH510" s="78"/>
      <c r="AI510" s="78"/>
      <c r="AJ510" s="78"/>
    </row>
    <row r="511" spans="1:36" s="212" customFormat="1" ht="57" customHeight="1">
      <c r="A511" s="79" t="s">
        <v>590</v>
      </c>
      <c r="B511" s="79"/>
      <c r="C511" s="79"/>
      <c r="D511" s="79"/>
      <c r="E511" s="79"/>
      <c r="F511" s="79"/>
      <c r="G511" s="79"/>
      <c r="H511" s="79"/>
      <c r="I511" s="79"/>
      <c r="J511" s="79"/>
      <c r="K511" s="41" t="s">
        <v>221</v>
      </c>
      <c r="L511" s="617"/>
      <c r="M511" s="472"/>
      <c r="N511" s="472"/>
      <c r="O511" s="472"/>
      <c r="P511" s="472"/>
      <c r="Q511" s="472"/>
      <c r="R511" s="472"/>
      <c r="S511" s="472"/>
      <c r="T511" s="472"/>
      <c r="U511" s="472"/>
      <c r="V511" s="78"/>
      <c r="W511" s="78"/>
      <c r="X511" s="78"/>
      <c r="Y511" s="78"/>
      <c r="Z511" s="78"/>
      <c r="AA511" s="78"/>
      <c r="AB511" s="78"/>
      <c r="AC511" s="78"/>
      <c r="AD511" s="78"/>
      <c r="AE511" s="78"/>
      <c r="AF511" s="78"/>
      <c r="AG511" s="78"/>
      <c r="AH511" s="78"/>
      <c r="AI511" s="78"/>
      <c r="AJ511" s="78"/>
    </row>
    <row r="512" spans="1:28" s="75" customFormat="1" ht="15.75">
      <c r="A512" s="37" t="s">
        <v>590</v>
      </c>
      <c r="B512" s="37">
        <v>1</v>
      </c>
      <c r="C512" s="37"/>
      <c r="D512" s="37"/>
      <c r="E512" s="37">
        <v>4</v>
      </c>
      <c r="F512" s="37">
        <v>5</v>
      </c>
      <c r="G512" s="37"/>
      <c r="H512" s="37"/>
      <c r="I512" s="37"/>
      <c r="J512" s="37">
        <v>451</v>
      </c>
      <c r="K512" s="272">
        <v>4</v>
      </c>
      <c r="L512" s="334" t="s">
        <v>1</v>
      </c>
      <c r="M512" s="422">
        <f aca="true" t="shared" si="213" ref="M512:S512">M516+M513</f>
        <v>54869.99800915787</v>
      </c>
      <c r="N512" s="422">
        <f t="shared" si="213"/>
        <v>245537.18000000002</v>
      </c>
      <c r="O512" s="437">
        <f t="shared" si="213"/>
        <v>886269.8200000001</v>
      </c>
      <c r="P512" s="437">
        <f t="shared" si="213"/>
        <v>181542.10084146258</v>
      </c>
      <c r="Q512" s="437">
        <f t="shared" si="213"/>
        <v>44765.03</v>
      </c>
      <c r="R512" s="437">
        <f t="shared" si="213"/>
        <v>98415.01999999999</v>
      </c>
      <c r="S512" s="437">
        <f t="shared" si="213"/>
        <v>98415.01999999999</v>
      </c>
      <c r="T512" s="437">
        <f>S512/M512*100</f>
        <v>179.36034913574156</v>
      </c>
      <c r="U512" s="437">
        <f>S512/R512*100</f>
        <v>100</v>
      </c>
      <c r="V512" s="78"/>
      <c r="W512" s="78"/>
      <c r="X512" s="78"/>
      <c r="Y512" s="78"/>
      <c r="Z512" s="78"/>
      <c r="AA512" s="78"/>
      <c r="AB512" s="78"/>
    </row>
    <row r="513" spans="1:28" s="75" customFormat="1" ht="17.25" customHeight="1">
      <c r="A513" s="37" t="s">
        <v>590</v>
      </c>
      <c r="B513" s="37">
        <v>1</v>
      </c>
      <c r="C513" s="37"/>
      <c r="D513" s="37"/>
      <c r="E513" s="37"/>
      <c r="F513" s="37"/>
      <c r="G513" s="37"/>
      <c r="H513" s="37"/>
      <c r="I513" s="37"/>
      <c r="J513" s="37">
        <v>451</v>
      </c>
      <c r="K513" s="272">
        <v>41</v>
      </c>
      <c r="L513" s="328" t="s">
        <v>118</v>
      </c>
      <c r="M513" s="422">
        <f aca="true" t="shared" si="214" ref="M513:S514">M514</f>
        <v>0</v>
      </c>
      <c r="N513" s="422">
        <f t="shared" si="214"/>
        <v>0</v>
      </c>
      <c r="O513" s="437">
        <f t="shared" si="214"/>
        <v>0</v>
      </c>
      <c r="P513" s="437">
        <f t="shared" si="214"/>
        <v>0</v>
      </c>
      <c r="Q513" s="437">
        <f t="shared" si="214"/>
        <v>0</v>
      </c>
      <c r="R513" s="437">
        <f t="shared" si="214"/>
        <v>0</v>
      </c>
      <c r="S513" s="437">
        <f t="shared" si="214"/>
        <v>0</v>
      </c>
      <c r="T513" s="437" t="e">
        <f aca="true" t="shared" si="215" ref="T513:T531">S513/M513*100</f>
        <v>#DIV/0!</v>
      </c>
      <c r="U513" s="437" t="e">
        <f aca="true" t="shared" si="216" ref="U513:U531">S513/R513*100</f>
        <v>#DIV/0!</v>
      </c>
      <c r="V513" s="78"/>
      <c r="W513" s="78"/>
      <c r="X513" s="78"/>
      <c r="Y513" s="78"/>
      <c r="Z513" s="78"/>
      <c r="AA513" s="78"/>
      <c r="AB513" s="78"/>
    </row>
    <row r="514" spans="1:28" s="75" customFormat="1" ht="24.75" customHeight="1">
      <c r="A514" s="37" t="s">
        <v>590</v>
      </c>
      <c r="B514" s="37">
        <v>1</v>
      </c>
      <c r="C514" s="37"/>
      <c r="D514" s="37"/>
      <c r="E514" s="37"/>
      <c r="F514" s="37"/>
      <c r="G514" s="37"/>
      <c r="H514" s="37"/>
      <c r="I514" s="37"/>
      <c r="J514" s="37">
        <v>451</v>
      </c>
      <c r="K514" s="272">
        <v>411</v>
      </c>
      <c r="L514" s="328" t="s">
        <v>321</v>
      </c>
      <c r="M514" s="422">
        <f t="shared" si="214"/>
        <v>0</v>
      </c>
      <c r="N514" s="422">
        <f t="shared" si="214"/>
        <v>0</v>
      </c>
      <c r="O514" s="437">
        <f t="shared" si="214"/>
        <v>0</v>
      </c>
      <c r="P514" s="437">
        <f t="shared" si="214"/>
        <v>0</v>
      </c>
      <c r="Q514" s="437">
        <f t="shared" si="214"/>
        <v>0</v>
      </c>
      <c r="R514" s="437">
        <f t="shared" si="214"/>
        <v>0</v>
      </c>
      <c r="S514" s="437">
        <f t="shared" si="214"/>
        <v>0</v>
      </c>
      <c r="T514" s="437" t="e">
        <f t="shared" si="215"/>
        <v>#DIV/0!</v>
      </c>
      <c r="U514" s="437" t="e">
        <f t="shared" si="216"/>
        <v>#DIV/0!</v>
      </c>
      <c r="V514" s="78"/>
      <c r="W514" s="78"/>
      <c r="X514" s="78"/>
      <c r="Y514" s="78"/>
      <c r="Z514" s="78"/>
      <c r="AA514" s="78"/>
      <c r="AB514" s="78"/>
    </row>
    <row r="515" spans="1:28" s="75" customFormat="1" ht="34.5" customHeight="1">
      <c r="A515" s="37" t="s">
        <v>590</v>
      </c>
      <c r="B515" s="37">
        <v>1</v>
      </c>
      <c r="C515" s="37"/>
      <c r="D515" s="37"/>
      <c r="E515" s="37"/>
      <c r="F515" s="37"/>
      <c r="G515" s="37"/>
      <c r="H515" s="37"/>
      <c r="I515" s="37"/>
      <c r="J515" s="37">
        <v>451</v>
      </c>
      <c r="K515" s="42">
        <v>4111</v>
      </c>
      <c r="L515" s="177" t="s">
        <v>320</v>
      </c>
      <c r="M515" s="422">
        <v>0</v>
      </c>
      <c r="N515" s="422">
        <v>0</v>
      </c>
      <c r="O515" s="422">
        <v>0</v>
      </c>
      <c r="P515" s="422">
        <v>0</v>
      </c>
      <c r="Q515" s="422">
        <v>0</v>
      </c>
      <c r="R515" s="422">
        <v>0</v>
      </c>
      <c r="S515" s="422"/>
      <c r="T515" s="437" t="e">
        <f t="shared" si="215"/>
        <v>#DIV/0!</v>
      </c>
      <c r="U515" s="437" t="e">
        <f t="shared" si="216"/>
        <v>#DIV/0!</v>
      </c>
      <c r="V515" s="78"/>
      <c r="W515" s="78"/>
      <c r="X515" s="78"/>
      <c r="Y515" s="78"/>
      <c r="Z515" s="78"/>
      <c r="AA515" s="78"/>
      <c r="AB515" s="78"/>
    </row>
    <row r="516" spans="1:28" s="75" customFormat="1" ht="43.5" customHeight="1">
      <c r="A516" s="37" t="s">
        <v>590</v>
      </c>
      <c r="B516" s="37">
        <v>1</v>
      </c>
      <c r="C516" s="37"/>
      <c r="D516" s="37"/>
      <c r="E516" s="37">
        <v>4</v>
      </c>
      <c r="F516" s="37">
        <v>5</v>
      </c>
      <c r="G516" s="37"/>
      <c r="H516" s="37"/>
      <c r="I516" s="37"/>
      <c r="J516" s="37">
        <v>451</v>
      </c>
      <c r="K516" s="272">
        <v>42</v>
      </c>
      <c r="L516" s="328" t="s">
        <v>29</v>
      </c>
      <c r="M516" s="422">
        <f aca="true" t="shared" si="217" ref="M516:S516">M517</f>
        <v>54869.99800915787</v>
      </c>
      <c r="N516" s="422">
        <f t="shared" si="217"/>
        <v>245537.18000000002</v>
      </c>
      <c r="O516" s="437">
        <f t="shared" si="217"/>
        <v>886269.8200000001</v>
      </c>
      <c r="P516" s="437">
        <f t="shared" si="217"/>
        <v>181542.10084146258</v>
      </c>
      <c r="Q516" s="437">
        <f t="shared" si="217"/>
        <v>44765.03</v>
      </c>
      <c r="R516" s="437">
        <f t="shared" si="217"/>
        <v>98415.01999999999</v>
      </c>
      <c r="S516" s="437">
        <f t="shared" si="217"/>
        <v>98415.01999999999</v>
      </c>
      <c r="T516" s="437">
        <f t="shared" si="215"/>
        <v>179.36034913574156</v>
      </c>
      <c r="U516" s="437">
        <f t="shared" si="216"/>
        <v>100</v>
      </c>
      <c r="V516" s="78"/>
      <c r="W516" s="78"/>
      <c r="X516" s="78"/>
      <c r="Y516" s="78"/>
      <c r="Z516" s="78"/>
      <c r="AA516" s="78"/>
      <c r="AB516" s="78"/>
    </row>
    <row r="517" spans="1:28" s="75" customFormat="1" ht="36.75" customHeight="1">
      <c r="A517" s="37" t="s">
        <v>590</v>
      </c>
      <c r="B517" s="37"/>
      <c r="C517" s="37"/>
      <c r="D517" s="37"/>
      <c r="E517" s="37">
        <v>4</v>
      </c>
      <c r="F517" s="37">
        <v>5</v>
      </c>
      <c r="G517" s="37"/>
      <c r="H517" s="37"/>
      <c r="I517" s="37"/>
      <c r="J517" s="37">
        <v>451</v>
      </c>
      <c r="K517" s="272">
        <v>421</v>
      </c>
      <c r="L517" s="273" t="s">
        <v>13</v>
      </c>
      <c r="M517" s="422">
        <f aca="true" t="shared" si="218" ref="M517:S517">SUM(M518:M530)</f>
        <v>54869.99800915787</v>
      </c>
      <c r="N517" s="422">
        <f t="shared" si="218"/>
        <v>245537.18000000002</v>
      </c>
      <c r="O517" s="437">
        <f t="shared" si="218"/>
        <v>886269.8200000001</v>
      </c>
      <c r="P517" s="437">
        <f t="shared" si="218"/>
        <v>181542.10084146258</v>
      </c>
      <c r="Q517" s="437">
        <f t="shared" si="218"/>
        <v>44765.03</v>
      </c>
      <c r="R517" s="437">
        <f t="shared" si="218"/>
        <v>98415.01999999999</v>
      </c>
      <c r="S517" s="437">
        <f t="shared" si="218"/>
        <v>98415.01999999999</v>
      </c>
      <c r="T517" s="437">
        <f t="shared" si="215"/>
        <v>179.36034913574156</v>
      </c>
      <c r="U517" s="437">
        <f t="shared" si="216"/>
        <v>100</v>
      </c>
      <c r="V517" s="78"/>
      <c r="W517" s="78"/>
      <c r="X517" s="78"/>
      <c r="Y517" s="78"/>
      <c r="Z517" s="78"/>
      <c r="AA517" s="78"/>
      <c r="AB517" s="78"/>
    </row>
    <row r="518" spans="1:28" s="75" customFormat="1" ht="45" customHeight="1">
      <c r="A518" s="37" t="s">
        <v>590</v>
      </c>
      <c r="B518" s="37">
        <v>1</v>
      </c>
      <c r="C518" s="37"/>
      <c r="D518" s="37"/>
      <c r="E518" s="37">
        <v>4</v>
      </c>
      <c r="F518" s="37">
        <v>5</v>
      </c>
      <c r="G518" s="37"/>
      <c r="H518" s="37"/>
      <c r="I518" s="37"/>
      <c r="J518" s="37">
        <v>451</v>
      </c>
      <c r="K518" s="42">
        <v>4212</v>
      </c>
      <c r="L518" s="374" t="s">
        <v>528</v>
      </c>
      <c r="M518" s="422">
        <v>0</v>
      </c>
      <c r="N518" s="422">
        <v>0</v>
      </c>
      <c r="O518" s="422">
        <v>0</v>
      </c>
      <c r="P518" s="422">
        <v>0</v>
      </c>
      <c r="Q518" s="422">
        <v>0</v>
      </c>
      <c r="R518" s="422">
        <v>0</v>
      </c>
      <c r="S518" s="422"/>
      <c r="T518" s="437" t="e">
        <f t="shared" si="215"/>
        <v>#DIV/0!</v>
      </c>
      <c r="U518" s="437" t="e">
        <f t="shared" si="216"/>
        <v>#DIV/0!</v>
      </c>
      <c r="V518" s="78"/>
      <c r="W518" s="78"/>
      <c r="X518" s="78"/>
      <c r="Y518" s="78"/>
      <c r="Z518" s="78"/>
      <c r="AA518" s="78"/>
      <c r="AB518" s="78"/>
    </row>
    <row r="519" spans="1:28" s="75" customFormat="1" ht="45" customHeight="1">
      <c r="A519" s="37" t="s">
        <v>590</v>
      </c>
      <c r="B519" s="37">
        <v>1</v>
      </c>
      <c r="C519" s="37"/>
      <c r="D519" s="37"/>
      <c r="E519" s="37">
        <v>4</v>
      </c>
      <c r="F519" s="37">
        <v>5</v>
      </c>
      <c r="G519" s="37"/>
      <c r="H519" s="37"/>
      <c r="I519" s="37"/>
      <c r="J519" s="37">
        <v>451</v>
      </c>
      <c r="K519" s="42">
        <v>4213</v>
      </c>
      <c r="L519" s="332" t="s">
        <v>483</v>
      </c>
      <c r="M519" s="422">
        <v>0</v>
      </c>
      <c r="N519" s="422">
        <v>0</v>
      </c>
      <c r="O519" s="422">
        <v>0</v>
      </c>
      <c r="P519" s="422">
        <v>0</v>
      </c>
      <c r="Q519" s="422">
        <v>0</v>
      </c>
      <c r="R519" s="422">
        <v>0</v>
      </c>
      <c r="S519" s="422"/>
      <c r="T519" s="437" t="e">
        <f t="shared" si="215"/>
        <v>#DIV/0!</v>
      </c>
      <c r="U519" s="437" t="e">
        <f t="shared" si="216"/>
        <v>#DIV/0!</v>
      </c>
      <c r="V519" s="78"/>
      <c r="W519" s="78"/>
      <c r="X519" s="78"/>
      <c r="Y519" s="78"/>
      <c r="Z519" s="78"/>
      <c r="AA519" s="78"/>
      <c r="AB519" s="78"/>
    </row>
    <row r="520" spans="1:28" s="75" customFormat="1" ht="35.25" customHeight="1">
      <c r="A520" s="37" t="s">
        <v>590</v>
      </c>
      <c r="B520" s="37">
        <v>1</v>
      </c>
      <c r="C520" s="37"/>
      <c r="D520" s="37"/>
      <c r="E520" s="37">
        <v>4</v>
      </c>
      <c r="F520" s="37">
        <v>5</v>
      </c>
      <c r="G520" s="37"/>
      <c r="H520" s="37"/>
      <c r="I520" s="37"/>
      <c r="J520" s="37">
        <v>451</v>
      </c>
      <c r="K520" s="42">
        <v>4213</v>
      </c>
      <c r="L520" s="349" t="s">
        <v>457</v>
      </c>
      <c r="M520" s="422">
        <v>0</v>
      </c>
      <c r="N520" s="422">
        <v>53089.12</v>
      </c>
      <c r="O520" s="422">
        <v>53089.12</v>
      </c>
      <c r="P520" s="422">
        <v>53089.12</v>
      </c>
      <c r="Q520" s="422">
        <v>44765.03</v>
      </c>
      <c r="R520" s="422">
        <v>44765.03</v>
      </c>
      <c r="S520" s="422">
        <v>44765.03</v>
      </c>
      <c r="T520" s="437" t="e">
        <f t="shared" si="215"/>
        <v>#DIV/0!</v>
      </c>
      <c r="U520" s="437">
        <f t="shared" si="216"/>
        <v>100</v>
      </c>
      <c r="V520" s="78"/>
      <c r="W520" s="78"/>
      <c r="X520" s="78"/>
      <c r="Y520" s="78"/>
      <c r="Z520" s="78"/>
      <c r="AA520" s="78"/>
      <c r="AB520" s="78"/>
    </row>
    <row r="521" spans="1:28" s="75" customFormat="1" ht="31.5" customHeight="1">
      <c r="A521" s="37" t="s">
        <v>590</v>
      </c>
      <c r="B521" s="37">
        <v>1</v>
      </c>
      <c r="C521" s="37"/>
      <c r="D521" s="37"/>
      <c r="E521" s="37">
        <v>4</v>
      </c>
      <c r="F521" s="37">
        <v>5</v>
      </c>
      <c r="G521" s="37"/>
      <c r="H521" s="37"/>
      <c r="I521" s="37"/>
      <c r="J521" s="37">
        <v>451</v>
      </c>
      <c r="K521" s="42">
        <v>4213</v>
      </c>
      <c r="L521" s="377" t="s">
        <v>527</v>
      </c>
      <c r="M521" s="422">
        <v>0</v>
      </c>
      <c r="N521" s="422">
        <v>0</v>
      </c>
      <c r="O521" s="422">
        <v>0</v>
      </c>
      <c r="P521" s="422">
        <v>0</v>
      </c>
      <c r="Q521" s="422">
        <v>0</v>
      </c>
      <c r="R521" s="422">
        <v>0</v>
      </c>
      <c r="S521" s="422"/>
      <c r="T521" s="437" t="e">
        <f t="shared" si="215"/>
        <v>#DIV/0!</v>
      </c>
      <c r="U521" s="437" t="e">
        <f t="shared" si="216"/>
        <v>#DIV/0!</v>
      </c>
      <c r="V521" s="78"/>
      <c r="W521" s="78"/>
      <c r="X521" s="78"/>
      <c r="Y521" s="78"/>
      <c r="Z521" s="78"/>
      <c r="AA521" s="78"/>
      <c r="AB521" s="78"/>
    </row>
    <row r="522" spans="1:28" s="75" customFormat="1" ht="50.25" customHeight="1">
      <c r="A522" s="37" t="s">
        <v>590</v>
      </c>
      <c r="B522" s="37">
        <v>1</v>
      </c>
      <c r="C522" s="37"/>
      <c r="D522" s="37"/>
      <c r="E522" s="37">
        <v>4</v>
      </c>
      <c r="F522" s="37">
        <v>5</v>
      </c>
      <c r="G522" s="37"/>
      <c r="H522" s="37"/>
      <c r="I522" s="37"/>
      <c r="J522" s="37">
        <v>451</v>
      </c>
      <c r="K522" s="279">
        <v>4214</v>
      </c>
      <c r="L522" s="330" t="s">
        <v>602</v>
      </c>
      <c r="M522" s="422">
        <f>390112/7.5345</f>
        <v>51776.7602362466</v>
      </c>
      <c r="N522" s="508">
        <v>59725.26</v>
      </c>
      <c r="O522" s="422">
        <v>0</v>
      </c>
      <c r="P522" s="502">
        <v>0</v>
      </c>
      <c r="Q522" s="422">
        <v>0</v>
      </c>
      <c r="R522" s="422">
        <v>0</v>
      </c>
      <c r="S522" s="422"/>
      <c r="T522" s="437">
        <f t="shared" si="215"/>
        <v>0</v>
      </c>
      <c r="U522" s="437" t="e">
        <f t="shared" si="216"/>
        <v>#DIV/0!</v>
      </c>
      <c r="V522" s="78"/>
      <c r="W522" s="78"/>
      <c r="X522" s="78"/>
      <c r="Y522" s="78"/>
      <c r="Z522" s="78"/>
      <c r="AA522" s="78"/>
      <c r="AB522" s="78"/>
    </row>
    <row r="523" spans="1:28" s="75" customFormat="1" ht="33.75" customHeight="1">
      <c r="A523" s="37" t="s">
        <v>590</v>
      </c>
      <c r="B523" s="37">
        <v>1</v>
      </c>
      <c r="C523" s="37"/>
      <c r="D523" s="37"/>
      <c r="E523" s="37">
        <v>4</v>
      </c>
      <c r="F523" s="37">
        <v>5</v>
      </c>
      <c r="G523" s="37"/>
      <c r="H523" s="37"/>
      <c r="I523" s="37"/>
      <c r="J523" s="37">
        <v>451</v>
      </c>
      <c r="K523" s="36">
        <v>4213</v>
      </c>
      <c r="L523" s="330" t="s">
        <v>534</v>
      </c>
      <c r="M523" s="422">
        <v>0</v>
      </c>
      <c r="N523" s="422">
        <v>0</v>
      </c>
      <c r="O523" s="422">
        <v>0</v>
      </c>
      <c r="P523" s="422">
        <v>0</v>
      </c>
      <c r="Q523" s="422">
        <v>0</v>
      </c>
      <c r="R523" s="422">
        <v>0</v>
      </c>
      <c r="S523" s="422"/>
      <c r="T523" s="437" t="e">
        <f t="shared" si="215"/>
        <v>#DIV/0!</v>
      </c>
      <c r="U523" s="437" t="e">
        <f t="shared" si="216"/>
        <v>#DIV/0!</v>
      </c>
      <c r="V523" s="78"/>
      <c r="W523" s="78"/>
      <c r="X523" s="78"/>
      <c r="Y523" s="78"/>
      <c r="Z523" s="78"/>
      <c r="AA523" s="78"/>
      <c r="AB523" s="78"/>
    </row>
    <row r="524" spans="1:28" s="75" customFormat="1" ht="33.75" customHeight="1">
      <c r="A524" s="37" t="s">
        <v>590</v>
      </c>
      <c r="B524" s="37">
        <v>1</v>
      </c>
      <c r="C524" s="37"/>
      <c r="D524" s="37"/>
      <c r="E524" s="37">
        <v>4</v>
      </c>
      <c r="F524" s="37">
        <v>5</v>
      </c>
      <c r="G524" s="37"/>
      <c r="H524" s="37"/>
      <c r="I524" s="37"/>
      <c r="J524" s="37">
        <v>451</v>
      </c>
      <c r="K524" s="36">
        <v>4213</v>
      </c>
      <c r="L524" s="330" t="s">
        <v>531</v>
      </c>
      <c r="M524" s="422">
        <v>0</v>
      </c>
      <c r="N524" s="422">
        <v>26544.56</v>
      </c>
      <c r="O524" s="422">
        <v>26544.56</v>
      </c>
      <c r="P524" s="422">
        <v>26544.56</v>
      </c>
      <c r="Q524" s="422">
        <v>0</v>
      </c>
      <c r="R524" s="422">
        <v>0</v>
      </c>
      <c r="S524" s="422"/>
      <c r="T524" s="437" t="e">
        <f t="shared" si="215"/>
        <v>#DIV/0!</v>
      </c>
      <c r="U524" s="437" t="e">
        <f t="shared" si="216"/>
        <v>#DIV/0!</v>
      </c>
      <c r="V524" s="78"/>
      <c r="W524" s="78"/>
      <c r="X524" s="78"/>
      <c r="Y524" s="78"/>
      <c r="Z524" s="78"/>
      <c r="AA524" s="78"/>
      <c r="AB524" s="78"/>
    </row>
    <row r="525" spans="1:28" s="75" customFormat="1" ht="50.25" customHeight="1">
      <c r="A525" s="37" t="s">
        <v>590</v>
      </c>
      <c r="B525" s="37">
        <v>1</v>
      </c>
      <c r="C525" s="37"/>
      <c r="D525" s="37"/>
      <c r="E525" s="37">
        <v>4</v>
      </c>
      <c r="F525" s="37">
        <v>5</v>
      </c>
      <c r="G525" s="37"/>
      <c r="H525" s="37"/>
      <c r="I525" s="37"/>
      <c r="J525" s="37">
        <v>451</v>
      </c>
      <c r="K525" s="36">
        <v>4213</v>
      </c>
      <c r="L525" s="330" t="s">
        <v>660</v>
      </c>
      <c r="M525" s="422">
        <v>0</v>
      </c>
      <c r="N525" s="422">
        <v>86269.83</v>
      </c>
      <c r="O525" s="422">
        <v>700000</v>
      </c>
      <c r="P525" s="502">
        <v>82000</v>
      </c>
      <c r="Q525" s="422">
        <v>0</v>
      </c>
      <c r="R525" s="422">
        <v>53649.99</v>
      </c>
      <c r="S525" s="422">
        <v>53649.99</v>
      </c>
      <c r="T525" s="437" t="e">
        <f t="shared" si="215"/>
        <v>#DIV/0!</v>
      </c>
      <c r="U525" s="437">
        <f t="shared" si="216"/>
        <v>100</v>
      </c>
      <c r="V525" s="78"/>
      <c r="W525" s="78"/>
      <c r="X525" s="78"/>
      <c r="Y525" s="78"/>
      <c r="Z525" s="78"/>
      <c r="AA525" s="78"/>
      <c r="AB525" s="78"/>
    </row>
    <row r="526" spans="1:28" s="75" customFormat="1" ht="33.75" customHeight="1">
      <c r="A526" s="37" t="s">
        <v>590</v>
      </c>
      <c r="B526" s="37">
        <v>1</v>
      </c>
      <c r="C526" s="37"/>
      <c r="D526" s="37"/>
      <c r="E526" s="37">
        <v>4</v>
      </c>
      <c r="F526" s="37">
        <v>5</v>
      </c>
      <c r="G526" s="37"/>
      <c r="H526" s="37"/>
      <c r="I526" s="37"/>
      <c r="J526" s="37">
        <v>451</v>
      </c>
      <c r="K526" s="164">
        <v>4214</v>
      </c>
      <c r="L526" s="332" t="s">
        <v>516</v>
      </c>
      <c r="M526" s="422">
        <f>9500/7.5345</f>
        <v>1260.8666799389475</v>
      </c>
      <c r="N526" s="422">
        <v>3981.68</v>
      </c>
      <c r="O526" s="422">
        <v>30000</v>
      </c>
      <c r="P526" s="422">
        <f>30000/7.5345</f>
        <v>3981.684252438781</v>
      </c>
      <c r="Q526" s="422">
        <v>0</v>
      </c>
      <c r="R526" s="422">
        <v>0</v>
      </c>
      <c r="S526" s="422"/>
      <c r="T526" s="437">
        <f t="shared" si="215"/>
        <v>0</v>
      </c>
      <c r="U526" s="437" t="e">
        <f t="shared" si="216"/>
        <v>#DIV/0!</v>
      </c>
      <c r="V526" s="78"/>
      <c r="W526" s="78"/>
      <c r="X526" s="78"/>
      <c r="Y526" s="78"/>
      <c r="Z526" s="78"/>
      <c r="AA526" s="78"/>
      <c r="AB526" s="78"/>
    </row>
    <row r="527" spans="1:28" s="75" customFormat="1" ht="19.5" customHeight="1">
      <c r="A527" s="37" t="s">
        <v>590</v>
      </c>
      <c r="B527" s="37">
        <v>1</v>
      </c>
      <c r="C527" s="37"/>
      <c r="D527" s="37"/>
      <c r="E527" s="37">
        <v>4</v>
      </c>
      <c r="F527" s="37">
        <v>5</v>
      </c>
      <c r="G527" s="37"/>
      <c r="H527" s="37"/>
      <c r="I527" s="37"/>
      <c r="J527" s="37">
        <v>520</v>
      </c>
      <c r="K527" s="42">
        <v>4214</v>
      </c>
      <c r="L527" s="330" t="s">
        <v>529</v>
      </c>
      <c r="M527" s="422">
        <f>13806/7.5345</f>
        <v>1832.3710929723272</v>
      </c>
      <c r="N527" s="422">
        <v>3981.68</v>
      </c>
      <c r="O527" s="422">
        <v>30000</v>
      </c>
      <c r="P527" s="422">
        <f>30000/7.5345</f>
        <v>3981.684252438781</v>
      </c>
      <c r="Q527" s="422">
        <v>0</v>
      </c>
      <c r="R527" s="422">
        <v>0</v>
      </c>
      <c r="S527" s="422"/>
      <c r="T527" s="437">
        <f t="shared" si="215"/>
        <v>0</v>
      </c>
      <c r="U527" s="437" t="e">
        <f t="shared" si="216"/>
        <v>#DIV/0!</v>
      </c>
      <c r="V527" s="78"/>
      <c r="W527" s="78"/>
      <c r="X527" s="78"/>
      <c r="Y527" s="78"/>
      <c r="Z527" s="78"/>
      <c r="AA527" s="78"/>
      <c r="AB527" s="78"/>
    </row>
    <row r="528" spans="1:28" s="75" customFormat="1" ht="19.5" customHeight="1">
      <c r="A528" s="37" t="s">
        <v>590</v>
      </c>
      <c r="B528" s="37">
        <v>1</v>
      </c>
      <c r="C528" s="37"/>
      <c r="D528" s="37"/>
      <c r="E528" s="37">
        <v>4</v>
      </c>
      <c r="F528" s="37">
        <v>5</v>
      </c>
      <c r="G528" s="37"/>
      <c r="H528" s="37"/>
      <c r="I528" s="37"/>
      <c r="J528" s="37">
        <v>520</v>
      </c>
      <c r="K528" s="164">
        <v>4214</v>
      </c>
      <c r="L528" s="330" t="s">
        <v>523</v>
      </c>
      <c r="M528" s="422">
        <v>0</v>
      </c>
      <c r="N528" s="422">
        <v>1327.23</v>
      </c>
      <c r="O528" s="422">
        <v>10000</v>
      </c>
      <c r="P528" s="422">
        <f>10000/7.5345</f>
        <v>1327.2280841462605</v>
      </c>
      <c r="Q528" s="422">
        <v>0</v>
      </c>
      <c r="R528" s="422">
        <v>0</v>
      </c>
      <c r="S528" s="422"/>
      <c r="T528" s="437" t="e">
        <f t="shared" si="215"/>
        <v>#DIV/0!</v>
      </c>
      <c r="U528" s="437" t="e">
        <f t="shared" si="216"/>
        <v>#DIV/0!</v>
      </c>
      <c r="V528" s="78"/>
      <c r="W528" s="78"/>
      <c r="X528" s="78"/>
      <c r="Y528" s="78"/>
      <c r="Z528" s="78"/>
      <c r="AA528" s="78"/>
      <c r="AB528" s="78"/>
    </row>
    <row r="529" spans="1:28" s="75" customFormat="1" ht="25.5" customHeight="1">
      <c r="A529" s="37" t="s">
        <v>590</v>
      </c>
      <c r="B529" s="37">
        <v>1</v>
      </c>
      <c r="C529" s="37"/>
      <c r="D529" s="37"/>
      <c r="E529" s="37">
        <v>4</v>
      </c>
      <c r="F529" s="37">
        <v>5</v>
      </c>
      <c r="G529" s="37"/>
      <c r="H529" s="37"/>
      <c r="I529" s="37"/>
      <c r="J529" s="37">
        <v>451</v>
      </c>
      <c r="K529" s="36">
        <v>4214</v>
      </c>
      <c r="L529" s="330" t="s">
        <v>365</v>
      </c>
      <c r="M529" s="428">
        <v>0</v>
      </c>
      <c r="N529" s="422">
        <v>6636.14</v>
      </c>
      <c r="O529" s="422">
        <v>6636.14</v>
      </c>
      <c r="P529" s="422">
        <v>6636.14</v>
      </c>
      <c r="Q529" s="428">
        <v>0</v>
      </c>
      <c r="R529" s="428">
        <v>0</v>
      </c>
      <c r="S529" s="428"/>
      <c r="T529" s="437" t="e">
        <f t="shared" si="215"/>
        <v>#DIV/0!</v>
      </c>
      <c r="U529" s="437" t="e">
        <f t="shared" si="216"/>
        <v>#DIV/0!</v>
      </c>
      <c r="V529" s="78"/>
      <c r="W529" s="78"/>
      <c r="X529" s="78"/>
      <c r="Y529" s="78"/>
      <c r="Z529" s="78"/>
      <c r="AA529" s="78"/>
      <c r="AB529" s="78"/>
    </row>
    <row r="530" spans="1:28" s="75" customFormat="1" ht="20.25" customHeight="1">
      <c r="A530" s="37" t="s">
        <v>590</v>
      </c>
      <c r="B530" s="37">
        <v>1</v>
      </c>
      <c r="C530" s="37"/>
      <c r="D530" s="37"/>
      <c r="E530" s="37">
        <v>4</v>
      </c>
      <c r="F530" s="37">
        <v>5</v>
      </c>
      <c r="G530" s="37"/>
      <c r="H530" s="37"/>
      <c r="I530" s="37"/>
      <c r="J530" s="37">
        <v>630</v>
      </c>
      <c r="K530" s="232">
        <v>4214</v>
      </c>
      <c r="L530" s="427" t="s">
        <v>575</v>
      </c>
      <c r="M530" s="424">
        <v>0</v>
      </c>
      <c r="N530" s="423">
        <v>3981.68</v>
      </c>
      <c r="O530" s="424">
        <v>30000</v>
      </c>
      <c r="P530" s="424">
        <f>30000/7.5345</f>
        <v>3981.684252438781</v>
      </c>
      <c r="Q530" s="424">
        <v>0</v>
      </c>
      <c r="R530" s="424">
        <v>0</v>
      </c>
      <c r="S530" s="424"/>
      <c r="T530" s="437" t="e">
        <f t="shared" si="215"/>
        <v>#DIV/0!</v>
      </c>
      <c r="U530" s="437" t="e">
        <f t="shared" si="216"/>
        <v>#DIV/0!</v>
      </c>
      <c r="V530" s="78"/>
      <c r="W530" s="78"/>
      <c r="X530" s="78"/>
      <c r="Y530" s="78"/>
      <c r="Z530" s="78"/>
      <c r="AA530" s="78"/>
      <c r="AB530" s="78"/>
    </row>
    <row r="531" spans="1:36" s="128" customFormat="1" ht="25.5" customHeight="1" thickBot="1">
      <c r="A531" s="125"/>
      <c r="B531" s="125"/>
      <c r="C531" s="125"/>
      <c r="D531" s="125"/>
      <c r="E531" s="125"/>
      <c r="F531" s="125"/>
      <c r="G531" s="125"/>
      <c r="H531" s="125"/>
      <c r="I531" s="125"/>
      <c r="J531" s="125"/>
      <c r="K531" s="126"/>
      <c r="L531" s="127" t="s">
        <v>86</v>
      </c>
      <c r="M531" s="421">
        <f aca="true" t="shared" si="219" ref="M531:S531">M512</f>
        <v>54869.99800915787</v>
      </c>
      <c r="N531" s="421">
        <f t="shared" si="219"/>
        <v>245537.18000000002</v>
      </c>
      <c r="O531" s="421">
        <f t="shared" si="219"/>
        <v>886269.8200000001</v>
      </c>
      <c r="P531" s="421">
        <f t="shared" si="219"/>
        <v>181542.10084146258</v>
      </c>
      <c r="Q531" s="421">
        <f t="shared" si="219"/>
        <v>44765.03</v>
      </c>
      <c r="R531" s="421">
        <f t="shared" si="219"/>
        <v>98415.01999999999</v>
      </c>
      <c r="S531" s="421">
        <f t="shared" si="219"/>
        <v>98415.01999999999</v>
      </c>
      <c r="T531" s="421">
        <f t="shared" si="215"/>
        <v>179.36034913574156</v>
      </c>
      <c r="U531" s="421">
        <f t="shared" si="216"/>
        <v>100</v>
      </c>
      <c r="V531" s="78"/>
      <c r="W531" s="78"/>
      <c r="X531" s="78"/>
      <c r="Y531" s="78"/>
      <c r="Z531" s="78"/>
      <c r="AA531" s="78"/>
      <c r="AB531" s="78"/>
      <c r="AC531" s="75"/>
      <c r="AD531" s="75"/>
      <c r="AE531" s="75"/>
      <c r="AF531" s="75"/>
      <c r="AG531" s="75"/>
      <c r="AH531" s="75"/>
      <c r="AI531" s="75"/>
      <c r="AJ531" s="75"/>
    </row>
    <row r="532" spans="1:36" s="44" customFormat="1" ht="46.5" customHeight="1" hidden="1">
      <c r="A532" s="17"/>
      <c r="B532" s="17"/>
      <c r="C532" s="17"/>
      <c r="D532" s="17"/>
      <c r="E532" s="17"/>
      <c r="F532" s="17"/>
      <c r="G532" s="17"/>
      <c r="H532" s="17"/>
      <c r="I532" s="17"/>
      <c r="J532" s="17"/>
      <c r="K532" s="13"/>
      <c r="L532" s="53"/>
      <c r="M532" s="439"/>
      <c r="N532" s="439"/>
      <c r="O532" s="440"/>
      <c r="P532" s="440"/>
      <c r="Q532" s="440"/>
      <c r="R532" s="440"/>
      <c r="S532" s="440"/>
      <c r="T532" s="437" t="e">
        <f aca="true" t="shared" si="220" ref="T532:T539">R532/N532*100</f>
        <v>#DIV/0!</v>
      </c>
      <c r="U532" s="437" t="e">
        <f aca="true" t="shared" si="221" ref="U532:U539">Q532/O532*100</f>
        <v>#DIV/0!</v>
      </c>
      <c r="V532" s="78"/>
      <c r="W532" s="78"/>
      <c r="X532" s="78"/>
      <c r="Y532" s="78"/>
      <c r="Z532" s="78"/>
      <c r="AA532" s="78"/>
      <c r="AB532" s="78"/>
      <c r="AC532" s="75"/>
      <c r="AD532" s="75"/>
      <c r="AE532" s="75"/>
      <c r="AF532" s="75"/>
      <c r="AG532" s="75"/>
      <c r="AH532" s="75"/>
      <c r="AI532" s="75"/>
      <c r="AJ532" s="75"/>
    </row>
    <row r="533" spans="1:36" s="44" customFormat="1" ht="28.5" customHeight="1" hidden="1">
      <c r="A533" s="20" t="s">
        <v>224</v>
      </c>
      <c r="B533" s="20"/>
      <c r="C533" s="20"/>
      <c r="D533" s="20"/>
      <c r="E533" s="20"/>
      <c r="F533" s="20"/>
      <c r="G533" s="20"/>
      <c r="H533" s="20"/>
      <c r="I533" s="20"/>
      <c r="J533" s="20"/>
      <c r="K533" s="27" t="s">
        <v>223</v>
      </c>
      <c r="L533" s="376" t="s">
        <v>218</v>
      </c>
      <c r="M533" s="439"/>
      <c r="N533" s="439"/>
      <c r="O533" s="440"/>
      <c r="P533" s="440"/>
      <c r="Q533" s="440"/>
      <c r="R533" s="440"/>
      <c r="S533" s="440"/>
      <c r="T533" s="437" t="e">
        <f t="shared" si="220"/>
        <v>#DIV/0!</v>
      </c>
      <c r="U533" s="437" t="e">
        <f t="shared" si="221"/>
        <v>#DIV/0!</v>
      </c>
      <c r="V533" s="78"/>
      <c r="W533" s="78"/>
      <c r="X533" s="78"/>
      <c r="Y533" s="78"/>
      <c r="Z533" s="78"/>
      <c r="AA533" s="78"/>
      <c r="AB533" s="78"/>
      <c r="AC533" s="75"/>
      <c r="AD533" s="75"/>
      <c r="AE533" s="75"/>
      <c r="AF533" s="75"/>
      <c r="AG533" s="75"/>
      <c r="AH533" s="75"/>
      <c r="AI533" s="75"/>
      <c r="AJ533" s="75"/>
    </row>
    <row r="534" spans="1:36" s="44" customFormat="1" ht="30.75" customHeight="1" hidden="1">
      <c r="A534" s="20" t="s">
        <v>225</v>
      </c>
      <c r="B534" s="20"/>
      <c r="C534" s="20"/>
      <c r="D534" s="20"/>
      <c r="E534" s="20"/>
      <c r="F534" s="20"/>
      <c r="G534" s="20"/>
      <c r="H534" s="20"/>
      <c r="I534" s="20"/>
      <c r="J534" s="20">
        <v>640</v>
      </c>
      <c r="K534" s="11" t="s">
        <v>222</v>
      </c>
      <c r="L534" s="47" t="s">
        <v>257</v>
      </c>
      <c r="M534" s="439"/>
      <c r="N534" s="439"/>
      <c r="O534" s="440"/>
      <c r="P534" s="440"/>
      <c r="Q534" s="440"/>
      <c r="R534" s="440"/>
      <c r="S534" s="440"/>
      <c r="T534" s="437" t="e">
        <f t="shared" si="220"/>
        <v>#DIV/0!</v>
      </c>
      <c r="U534" s="437" t="e">
        <f t="shared" si="221"/>
        <v>#DIV/0!</v>
      </c>
      <c r="V534" s="78"/>
      <c r="W534" s="78"/>
      <c r="X534" s="78"/>
      <c r="Y534" s="78"/>
      <c r="Z534" s="78"/>
      <c r="AA534" s="78"/>
      <c r="AB534" s="78"/>
      <c r="AC534" s="75"/>
      <c r="AD534" s="75"/>
      <c r="AE534" s="75"/>
      <c r="AF534" s="75"/>
      <c r="AG534" s="75"/>
      <c r="AH534" s="75"/>
      <c r="AI534" s="75"/>
      <c r="AJ534" s="75"/>
    </row>
    <row r="535" spans="1:36" s="44" customFormat="1" ht="33" customHeight="1" hidden="1">
      <c r="A535" s="17" t="s">
        <v>225</v>
      </c>
      <c r="B535" s="16"/>
      <c r="C535" s="16"/>
      <c r="D535" s="16"/>
      <c r="E535" s="16"/>
      <c r="F535" s="16">
        <v>5</v>
      </c>
      <c r="G535" s="16"/>
      <c r="H535" s="16"/>
      <c r="I535" s="16"/>
      <c r="J535" s="16">
        <v>640</v>
      </c>
      <c r="K535" s="29">
        <v>4</v>
      </c>
      <c r="L535" s="56" t="s">
        <v>1</v>
      </c>
      <c r="M535" s="439"/>
      <c r="N535" s="439"/>
      <c r="O535" s="440"/>
      <c r="P535" s="440"/>
      <c r="Q535" s="440"/>
      <c r="R535" s="440"/>
      <c r="S535" s="440"/>
      <c r="T535" s="437" t="e">
        <f t="shared" si="220"/>
        <v>#DIV/0!</v>
      </c>
      <c r="U535" s="437" t="e">
        <f t="shared" si="221"/>
        <v>#DIV/0!</v>
      </c>
      <c r="V535" s="78"/>
      <c r="W535" s="78"/>
      <c r="X535" s="78"/>
      <c r="Y535" s="78"/>
      <c r="Z535" s="78"/>
      <c r="AA535" s="78"/>
      <c r="AB535" s="78"/>
      <c r="AC535" s="75"/>
      <c r="AD535" s="75"/>
      <c r="AE535" s="75"/>
      <c r="AF535" s="75"/>
      <c r="AG535" s="75"/>
      <c r="AH535" s="75"/>
      <c r="AI535" s="75"/>
      <c r="AJ535" s="75"/>
    </row>
    <row r="536" spans="1:36" s="44" customFormat="1" ht="23.25" customHeight="1" hidden="1">
      <c r="A536" s="17" t="s">
        <v>225</v>
      </c>
      <c r="B536" s="16"/>
      <c r="C536" s="16"/>
      <c r="D536" s="16"/>
      <c r="E536" s="16"/>
      <c r="F536" s="16">
        <v>5</v>
      </c>
      <c r="G536" s="16"/>
      <c r="H536" s="16"/>
      <c r="I536" s="16"/>
      <c r="J536" s="16">
        <v>640</v>
      </c>
      <c r="K536" s="30">
        <v>42</v>
      </c>
      <c r="L536" s="57" t="s">
        <v>28</v>
      </c>
      <c r="M536" s="439"/>
      <c r="N536" s="439"/>
      <c r="O536" s="440"/>
      <c r="P536" s="440"/>
      <c r="Q536" s="440"/>
      <c r="R536" s="440"/>
      <c r="S536" s="440"/>
      <c r="T536" s="437" t="e">
        <f t="shared" si="220"/>
        <v>#DIV/0!</v>
      </c>
      <c r="U536" s="437" t="e">
        <f t="shared" si="221"/>
        <v>#DIV/0!</v>
      </c>
      <c r="V536" s="78"/>
      <c r="W536" s="78"/>
      <c r="X536" s="78"/>
      <c r="Y536" s="78"/>
      <c r="Z536" s="78"/>
      <c r="AA536" s="78"/>
      <c r="AB536" s="78"/>
      <c r="AC536" s="75"/>
      <c r="AD536" s="75"/>
      <c r="AE536" s="75"/>
      <c r="AF536" s="75"/>
      <c r="AG536" s="75"/>
      <c r="AH536" s="75"/>
      <c r="AI536" s="75"/>
      <c r="AJ536" s="75"/>
    </row>
    <row r="537" spans="1:36" s="44" customFormat="1" ht="25.5" customHeight="1" hidden="1">
      <c r="A537" s="17" t="s">
        <v>225</v>
      </c>
      <c r="B537" s="16"/>
      <c r="C537" s="16"/>
      <c r="D537" s="16"/>
      <c r="E537" s="16"/>
      <c r="F537" s="16">
        <v>5</v>
      </c>
      <c r="G537" s="16"/>
      <c r="H537" s="16"/>
      <c r="I537" s="16"/>
      <c r="J537" s="16">
        <v>640</v>
      </c>
      <c r="K537" s="29">
        <v>421</v>
      </c>
      <c r="L537" s="56" t="s">
        <v>13</v>
      </c>
      <c r="M537" s="439"/>
      <c r="N537" s="439"/>
      <c r="O537" s="440"/>
      <c r="P537" s="440"/>
      <c r="Q537" s="440"/>
      <c r="R537" s="440"/>
      <c r="S537" s="440"/>
      <c r="T537" s="437" t="e">
        <f t="shared" si="220"/>
        <v>#DIV/0!</v>
      </c>
      <c r="U537" s="437" t="e">
        <f t="shared" si="221"/>
        <v>#DIV/0!</v>
      </c>
      <c r="V537" s="78"/>
      <c r="W537" s="78"/>
      <c r="X537" s="78"/>
      <c r="Y537" s="78"/>
      <c r="Z537" s="78"/>
      <c r="AA537" s="78"/>
      <c r="AB537" s="78"/>
      <c r="AC537" s="75"/>
      <c r="AD537" s="75"/>
      <c r="AE537" s="75"/>
      <c r="AF537" s="75"/>
      <c r="AG537" s="75"/>
      <c r="AH537" s="75"/>
      <c r="AI537" s="75"/>
      <c r="AJ537" s="75"/>
    </row>
    <row r="538" spans="1:36" s="44" customFormat="1" ht="6" customHeight="1" hidden="1" thickBot="1">
      <c r="A538" s="17" t="s">
        <v>225</v>
      </c>
      <c r="B538" s="16"/>
      <c r="C538" s="16"/>
      <c r="D538" s="16"/>
      <c r="E538" s="16"/>
      <c r="F538" s="16">
        <v>5</v>
      </c>
      <c r="G538" s="16"/>
      <c r="H538" s="16"/>
      <c r="I538" s="16"/>
      <c r="J538" s="16">
        <v>640</v>
      </c>
      <c r="K538" s="30">
        <v>4214</v>
      </c>
      <c r="L538" s="57" t="s">
        <v>220</v>
      </c>
      <c r="M538" s="439"/>
      <c r="N538" s="439"/>
      <c r="O538" s="440"/>
      <c r="P538" s="440"/>
      <c r="Q538" s="440"/>
      <c r="R538" s="440"/>
      <c r="S538" s="440"/>
      <c r="T538" s="437" t="e">
        <f t="shared" si="220"/>
        <v>#DIV/0!</v>
      </c>
      <c r="U538" s="437" t="e">
        <f t="shared" si="221"/>
        <v>#DIV/0!</v>
      </c>
      <c r="V538" s="78"/>
      <c r="W538" s="78"/>
      <c r="X538" s="78"/>
      <c r="Y538" s="78"/>
      <c r="Z538" s="78"/>
      <c r="AA538" s="78"/>
      <c r="AB538" s="78"/>
      <c r="AC538" s="75"/>
      <c r="AD538" s="75"/>
      <c r="AE538" s="75"/>
      <c r="AF538" s="75"/>
      <c r="AG538" s="75"/>
      <c r="AH538" s="75"/>
      <c r="AI538" s="75"/>
      <c r="AJ538" s="75"/>
    </row>
    <row r="539" spans="1:36" s="44" customFormat="1" ht="1.5" customHeight="1">
      <c r="A539" s="21"/>
      <c r="B539" s="21"/>
      <c r="C539" s="21"/>
      <c r="D539" s="21"/>
      <c r="E539" s="21"/>
      <c r="F539" s="21"/>
      <c r="G539" s="21"/>
      <c r="H539" s="21"/>
      <c r="I539" s="21"/>
      <c r="J539" s="21"/>
      <c r="K539" s="235"/>
      <c r="L539" s="236" t="s">
        <v>86</v>
      </c>
      <c r="M539" s="441"/>
      <c r="N539" s="441"/>
      <c r="O539" s="442"/>
      <c r="P539" s="442"/>
      <c r="Q539" s="442"/>
      <c r="R539" s="442"/>
      <c r="S539" s="442"/>
      <c r="T539" s="437" t="e">
        <f t="shared" si="220"/>
        <v>#DIV/0!</v>
      </c>
      <c r="U539" s="437" t="e">
        <f t="shared" si="221"/>
        <v>#DIV/0!</v>
      </c>
      <c r="V539" s="78"/>
      <c r="W539" s="78"/>
      <c r="X539" s="78"/>
      <c r="Y539" s="78"/>
      <c r="Z539" s="78"/>
      <c r="AA539" s="78"/>
      <c r="AB539" s="78"/>
      <c r="AC539" s="75"/>
      <c r="AD539" s="75"/>
      <c r="AE539" s="75"/>
      <c r="AF539" s="75"/>
      <c r="AG539" s="75"/>
      <c r="AH539" s="75"/>
      <c r="AI539" s="75"/>
      <c r="AJ539" s="75"/>
    </row>
    <row r="540" spans="1:36" s="46" customFormat="1" ht="15">
      <c r="A540" s="19"/>
      <c r="B540" s="19"/>
      <c r="C540" s="19"/>
      <c r="D540" s="19"/>
      <c r="E540" s="19"/>
      <c r="F540" s="19"/>
      <c r="G540" s="19"/>
      <c r="H540" s="19"/>
      <c r="I540" s="19"/>
      <c r="J540" s="19"/>
      <c r="K540" s="19"/>
      <c r="L540" s="45"/>
      <c r="M540" s="429"/>
      <c r="N540" s="429"/>
      <c r="O540" s="429"/>
      <c r="P540" s="429"/>
      <c r="Q540" s="429"/>
      <c r="R540" s="429"/>
      <c r="S540" s="429"/>
      <c r="T540" s="429"/>
      <c r="U540" s="429"/>
      <c r="V540" s="78"/>
      <c r="W540" s="78"/>
      <c r="X540" s="78"/>
      <c r="Y540" s="78"/>
      <c r="Z540" s="78"/>
      <c r="AA540" s="78"/>
      <c r="AB540" s="78"/>
      <c r="AC540" s="78"/>
      <c r="AD540" s="78"/>
      <c r="AE540" s="78"/>
      <c r="AF540" s="78"/>
      <c r="AG540" s="78"/>
      <c r="AH540" s="78"/>
      <c r="AI540" s="78"/>
      <c r="AJ540" s="78"/>
    </row>
    <row r="541" spans="1:36" s="212" customFormat="1" ht="15">
      <c r="A541" s="79" t="s">
        <v>224</v>
      </c>
      <c r="B541" s="79"/>
      <c r="C541" s="79"/>
      <c r="D541" s="79"/>
      <c r="E541" s="79"/>
      <c r="F541" s="79"/>
      <c r="G541" s="79"/>
      <c r="H541" s="79"/>
      <c r="I541" s="79"/>
      <c r="J541" s="79"/>
      <c r="K541" s="41" t="s">
        <v>223</v>
      </c>
      <c r="L541" s="614" t="s">
        <v>532</v>
      </c>
      <c r="M541" s="430"/>
      <c r="N541" s="430"/>
      <c r="O541" s="430"/>
      <c r="P541" s="430"/>
      <c r="Q541" s="430"/>
      <c r="R541" s="430"/>
      <c r="S541" s="430"/>
      <c r="T541" s="430"/>
      <c r="U541" s="430"/>
      <c r="V541" s="78"/>
      <c r="W541" s="78"/>
      <c r="X541" s="78"/>
      <c r="Y541" s="78"/>
      <c r="Z541" s="78"/>
      <c r="AA541" s="78"/>
      <c r="AB541" s="78"/>
      <c r="AC541" s="78"/>
      <c r="AD541" s="78"/>
      <c r="AE541" s="78"/>
      <c r="AF541" s="78"/>
      <c r="AG541" s="78"/>
      <c r="AH541" s="78"/>
      <c r="AI541" s="78"/>
      <c r="AJ541" s="78"/>
    </row>
    <row r="542" spans="1:36" s="212" customFormat="1" ht="29.25" customHeight="1">
      <c r="A542" s="79" t="s">
        <v>225</v>
      </c>
      <c r="B542" s="79"/>
      <c r="C542" s="79"/>
      <c r="D542" s="79"/>
      <c r="E542" s="79"/>
      <c r="F542" s="79"/>
      <c r="G542" s="79"/>
      <c r="H542" s="79"/>
      <c r="I542" s="79"/>
      <c r="J542" s="79"/>
      <c r="K542" s="41" t="s">
        <v>222</v>
      </c>
      <c r="L542" s="618"/>
      <c r="M542" s="430"/>
      <c r="N542" s="430"/>
      <c r="O542" s="430"/>
      <c r="P542" s="430"/>
      <c r="Q542" s="430"/>
      <c r="R542" s="430"/>
      <c r="S542" s="430"/>
      <c r="T542" s="430"/>
      <c r="U542" s="430"/>
      <c r="V542" s="78"/>
      <c r="W542" s="78"/>
      <c r="X542" s="78"/>
      <c r="Y542" s="78"/>
      <c r="Z542" s="78"/>
      <c r="AA542" s="78"/>
      <c r="AB542" s="78"/>
      <c r="AC542" s="78"/>
      <c r="AD542" s="78"/>
      <c r="AE542" s="78"/>
      <c r="AF542" s="78"/>
      <c r="AG542" s="78"/>
      <c r="AH542" s="78"/>
      <c r="AI542" s="78"/>
      <c r="AJ542" s="78"/>
    </row>
    <row r="543" spans="1:28" s="75" customFormat="1" ht="30" customHeight="1">
      <c r="A543" s="37" t="s">
        <v>225</v>
      </c>
      <c r="B543" s="37">
        <v>1</v>
      </c>
      <c r="C543" s="37"/>
      <c r="D543" s="37"/>
      <c r="E543" s="37">
        <v>4</v>
      </c>
      <c r="F543" s="37"/>
      <c r="G543" s="37"/>
      <c r="H543" s="37"/>
      <c r="I543" s="37"/>
      <c r="J543" s="37">
        <v>660</v>
      </c>
      <c r="K543" s="272">
        <v>3</v>
      </c>
      <c r="L543" s="273" t="s">
        <v>0</v>
      </c>
      <c r="M543" s="422">
        <f aca="true" t="shared" si="222" ref="M543:S545">M544</f>
        <v>23309.443227818698</v>
      </c>
      <c r="N543" s="422">
        <f t="shared" si="222"/>
        <v>26544.56</v>
      </c>
      <c r="O543" s="437">
        <f t="shared" si="222"/>
        <v>200000</v>
      </c>
      <c r="P543" s="437">
        <f t="shared" si="222"/>
        <v>26544.56168292521</v>
      </c>
      <c r="Q543" s="437">
        <f t="shared" si="222"/>
        <v>9047.11</v>
      </c>
      <c r="R543" s="437">
        <f t="shared" si="222"/>
        <v>20000</v>
      </c>
      <c r="S543" s="437">
        <f t="shared" si="222"/>
        <v>9422.11</v>
      </c>
      <c r="T543" s="437">
        <f>S543/M543*100</f>
        <v>40.42185781921709</v>
      </c>
      <c r="U543" s="437">
        <f>S543/R543*100</f>
        <v>47.11055</v>
      </c>
      <c r="V543" s="78"/>
      <c r="W543" s="78"/>
      <c r="X543" s="78"/>
      <c r="Y543" s="78"/>
      <c r="Z543" s="78"/>
      <c r="AA543" s="78"/>
      <c r="AB543" s="78"/>
    </row>
    <row r="544" spans="1:28" s="75" customFormat="1" ht="24.75" customHeight="1">
      <c r="A544" s="37" t="s">
        <v>225</v>
      </c>
      <c r="B544" s="37">
        <v>1</v>
      </c>
      <c r="C544" s="37"/>
      <c r="D544" s="37"/>
      <c r="E544" s="37">
        <v>4</v>
      </c>
      <c r="F544" s="37"/>
      <c r="G544" s="37"/>
      <c r="H544" s="37"/>
      <c r="I544" s="37"/>
      <c r="J544" s="37">
        <v>660</v>
      </c>
      <c r="K544" s="272">
        <v>32</v>
      </c>
      <c r="L544" s="278" t="s">
        <v>5</v>
      </c>
      <c r="M544" s="422">
        <f t="shared" si="222"/>
        <v>23309.443227818698</v>
      </c>
      <c r="N544" s="422">
        <f t="shared" si="222"/>
        <v>26544.56</v>
      </c>
      <c r="O544" s="437">
        <f t="shared" si="222"/>
        <v>200000</v>
      </c>
      <c r="P544" s="437">
        <f t="shared" si="222"/>
        <v>26544.56168292521</v>
      </c>
      <c r="Q544" s="437">
        <f t="shared" si="222"/>
        <v>9047.11</v>
      </c>
      <c r="R544" s="437">
        <f t="shared" si="222"/>
        <v>20000</v>
      </c>
      <c r="S544" s="437">
        <f t="shared" si="222"/>
        <v>9422.11</v>
      </c>
      <c r="T544" s="437">
        <f aca="true" t="shared" si="223" ref="T544:T553">S544/M544*100</f>
        <v>40.42185781921709</v>
      </c>
      <c r="U544" s="437">
        <f aca="true" t="shared" si="224" ref="U544:U553">S544/R544*100</f>
        <v>47.11055</v>
      </c>
      <c r="V544" s="78"/>
      <c r="W544" s="78"/>
      <c r="X544" s="78"/>
      <c r="Y544" s="78"/>
      <c r="Z544" s="78"/>
      <c r="AA544" s="78"/>
      <c r="AB544" s="78"/>
    </row>
    <row r="545" spans="1:28" s="75" customFormat="1" ht="24" customHeight="1">
      <c r="A545" s="37" t="s">
        <v>225</v>
      </c>
      <c r="B545" s="37">
        <v>1</v>
      </c>
      <c r="C545" s="37"/>
      <c r="D545" s="37"/>
      <c r="E545" s="37">
        <v>4</v>
      </c>
      <c r="F545" s="37"/>
      <c r="G545" s="37"/>
      <c r="H545" s="37"/>
      <c r="I545" s="37"/>
      <c r="J545" s="37">
        <v>660</v>
      </c>
      <c r="K545" s="272">
        <v>323</v>
      </c>
      <c r="L545" s="273" t="s">
        <v>7</v>
      </c>
      <c r="M545" s="422">
        <f t="shared" si="222"/>
        <v>23309.443227818698</v>
      </c>
      <c r="N545" s="422">
        <f t="shared" si="222"/>
        <v>26544.56</v>
      </c>
      <c r="O545" s="437">
        <f t="shared" si="222"/>
        <v>200000</v>
      </c>
      <c r="P545" s="437">
        <f t="shared" si="222"/>
        <v>26544.56168292521</v>
      </c>
      <c r="Q545" s="437">
        <f t="shared" si="222"/>
        <v>9047.11</v>
      </c>
      <c r="R545" s="437">
        <f t="shared" si="222"/>
        <v>20000</v>
      </c>
      <c r="S545" s="437">
        <f t="shared" si="222"/>
        <v>9422.11</v>
      </c>
      <c r="T545" s="437">
        <f t="shared" si="223"/>
        <v>40.42185781921709</v>
      </c>
      <c r="U545" s="437">
        <f t="shared" si="224"/>
        <v>47.11055</v>
      </c>
      <c r="V545" s="78"/>
      <c r="W545" s="78"/>
      <c r="X545" s="78"/>
      <c r="Y545" s="78"/>
      <c r="Z545" s="78"/>
      <c r="AA545" s="78"/>
      <c r="AB545" s="78"/>
    </row>
    <row r="546" spans="1:28" s="75" customFormat="1" ht="27" customHeight="1">
      <c r="A546" s="37" t="s">
        <v>225</v>
      </c>
      <c r="B546" s="37">
        <v>1</v>
      </c>
      <c r="C546" s="37"/>
      <c r="D546" s="37"/>
      <c r="E546" s="37">
        <v>4</v>
      </c>
      <c r="F546" s="37"/>
      <c r="G546" s="37"/>
      <c r="H546" s="37"/>
      <c r="I546" s="37"/>
      <c r="J546" s="37">
        <v>660</v>
      </c>
      <c r="K546" s="42">
        <v>3237</v>
      </c>
      <c r="L546" s="339" t="s">
        <v>461</v>
      </c>
      <c r="M546" s="422">
        <f>175625/7.5345</f>
        <v>23309.443227818698</v>
      </c>
      <c r="N546" s="422">
        <v>26544.56</v>
      </c>
      <c r="O546" s="422">
        <v>200000</v>
      </c>
      <c r="P546" s="422">
        <f>200000/7.5345</f>
        <v>26544.56168292521</v>
      </c>
      <c r="Q546" s="422">
        <v>9047.11</v>
      </c>
      <c r="R546" s="422">
        <v>20000</v>
      </c>
      <c r="S546" s="422">
        <v>9422.11</v>
      </c>
      <c r="T546" s="437">
        <f t="shared" si="223"/>
        <v>40.42185781921709</v>
      </c>
      <c r="U546" s="437">
        <f t="shared" si="224"/>
        <v>47.11055</v>
      </c>
      <c r="V546" s="78"/>
      <c r="W546" s="78"/>
      <c r="X546" s="78"/>
      <c r="Y546" s="78"/>
      <c r="Z546" s="78"/>
      <c r="AA546" s="78"/>
      <c r="AB546" s="78"/>
    </row>
    <row r="547" spans="1:28" s="75" customFormat="1" ht="26.25" customHeight="1">
      <c r="A547" s="37" t="s">
        <v>225</v>
      </c>
      <c r="B547" s="37">
        <v>1</v>
      </c>
      <c r="C547" s="37"/>
      <c r="D547" s="37"/>
      <c r="E547" s="37">
        <v>4</v>
      </c>
      <c r="F547" s="37">
        <v>5</v>
      </c>
      <c r="G547" s="37"/>
      <c r="H547" s="37"/>
      <c r="I547" s="37"/>
      <c r="J547" s="37">
        <v>660</v>
      </c>
      <c r="K547" s="272">
        <v>4</v>
      </c>
      <c r="L547" s="273" t="s">
        <v>1</v>
      </c>
      <c r="M547" s="422">
        <f aca="true" t="shared" si="225" ref="M547:S548">M548</f>
        <v>17973.98632955073</v>
      </c>
      <c r="N547" s="422">
        <f t="shared" si="225"/>
        <v>46847.69794406407</v>
      </c>
      <c r="O547" s="437">
        <f t="shared" si="225"/>
        <v>194462.14</v>
      </c>
      <c r="P547" s="437">
        <f t="shared" si="225"/>
        <v>64370.56126219391</v>
      </c>
      <c r="Q547" s="437">
        <f t="shared" si="225"/>
        <v>3240.84</v>
      </c>
      <c r="R547" s="437">
        <f t="shared" si="225"/>
        <v>64204.66</v>
      </c>
      <c r="S547" s="437">
        <f t="shared" si="225"/>
        <v>59193.33</v>
      </c>
      <c r="T547" s="437">
        <f t="shared" si="223"/>
        <v>329.3277791286691</v>
      </c>
      <c r="U547" s="437">
        <f t="shared" si="224"/>
        <v>92.1947565799741</v>
      </c>
      <c r="V547" s="78"/>
      <c r="W547" s="78"/>
      <c r="X547" s="78"/>
      <c r="Y547" s="78"/>
      <c r="Z547" s="78"/>
      <c r="AA547" s="78"/>
      <c r="AB547" s="78"/>
    </row>
    <row r="548" spans="1:28" s="75" customFormat="1" ht="25.5" customHeight="1">
      <c r="A548" s="37" t="s">
        <v>225</v>
      </c>
      <c r="B548" s="37">
        <v>1</v>
      </c>
      <c r="C548" s="37"/>
      <c r="D548" s="37"/>
      <c r="E548" s="37">
        <v>4</v>
      </c>
      <c r="F548" s="37">
        <v>5</v>
      </c>
      <c r="G548" s="37"/>
      <c r="H548" s="37"/>
      <c r="I548" s="37"/>
      <c r="J548" s="37">
        <v>660</v>
      </c>
      <c r="K548" s="274">
        <v>42</v>
      </c>
      <c r="L548" s="341" t="s">
        <v>28</v>
      </c>
      <c r="M548" s="422">
        <f t="shared" si="225"/>
        <v>17973.98632955073</v>
      </c>
      <c r="N548" s="422">
        <f t="shared" si="225"/>
        <v>46847.69794406407</v>
      </c>
      <c r="O548" s="437">
        <f t="shared" si="225"/>
        <v>194462.14</v>
      </c>
      <c r="P548" s="437">
        <f t="shared" si="225"/>
        <v>64370.56126219391</v>
      </c>
      <c r="Q548" s="437">
        <f t="shared" si="225"/>
        <v>3240.84</v>
      </c>
      <c r="R548" s="437">
        <f t="shared" si="225"/>
        <v>64204.66</v>
      </c>
      <c r="S548" s="437">
        <f t="shared" si="225"/>
        <v>59193.33</v>
      </c>
      <c r="T548" s="437">
        <f t="shared" si="223"/>
        <v>329.3277791286691</v>
      </c>
      <c r="U548" s="437">
        <f t="shared" si="224"/>
        <v>92.1947565799741</v>
      </c>
      <c r="V548" s="78"/>
      <c r="W548" s="78"/>
      <c r="X548" s="78"/>
      <c r="Y548" s="78"/>
      <c r="Z548" s="78"/>
      <c r="AA548" s="78"/>
      <c r="AB548" s="78"/>
    </row>
    <row r="549" spans="1:28" s="75" customFormat="1" ht="32.25" customHeight="1">
      <c r="A549" s="37" t="s">
        <v>225</v>
      </c>
      <c r="B549" s="37">
        <v>1</v>
      </c>
      <c r="C549" s="37"/>
      <c r="D549" s="37"/>
      <c r="E549" s="37">
        <v>4</v>
      </c>
      <c r="F549" s="37">
        <v>5</v>
      </c>
      <c r="G549" s="37"/>
      <c r="H549" s="37"/>
      <c r="I549" s="37"/>
      <c r="J549" s="37">
        <v>660</v>
      </c>
      <c r="K549" s="272">
        <v>426</v>
      </c>
      <c r="L549" s="343" t="s">
        <v>319</v>
      </c>
      <c r="M549" s="422">
        <f aca="true" t="shared" si="226" ref="M549:S549">M550+M551+M552</f>
        <v>17973.98632955073</v>
      </c>
      <c r="N549" s="422">
        <f t="shared" si="226"/>
        <v>46847.69794406407</v>
      </c>
      <c r="O549" s="437">
        <f t="shared" si="226"/>
        <v>194462.14</v>
      </c>
      <c r="P549" s="437">
        <f t="shared" si="226"/>
        <v>64370.56126219391</v>
      </c>
      <c r="Q549" s="437">
        <f t="shared" si="226"/>
        <v>3240.84</v>
      </c>
      <c r="R549" s="437">
        <f t="shared" si="226"/>
        <v>64204.66</v>
      </c>
      <c r="S549" s="437">
        <f t="shared" si="226"/>
        <v>59193.33</v>
      </c>
      <c r="T549" s="437">
        <f t="shared" si="223"/>
        <v>329.3277791286691</v>
      </c>
      <c r="U549" s="437">
        <f t="shared" si="224"/>
        <v>92.1947565799741</v>
      </c>
      <c r="V549" s="78"/>
      <c r="W549" s="78"/>
      <c r="X549" s="78"/>
      <c r="Y549" s="78"/>
      <c r="Z549" s="78"/>
      <c r="AA549" s="78"/>
      <c r="AB549" s="78"/>
    </row>
    <row r="550" spans="1:28" s="75" customFormat="1" ht="36" customHeight="1">
      <c r="A550" s="37" t="s">
        <v>225</v>
      </c>
      <c r="B550" s="37">
        <v>1</v>
      </c>
      <c r="C550" s="37"/>
      <c r="D550" s="37"/>
      <c r="E550" s="37">
        <v>4</v>
      </c>
      <c r="F550" s="37">
        <v>5</v>
      </c>
      <c r="G550" s="37"/>
      <c r="H550" s="37"/>
      <c r="I550" s="37"/>
      <c r="J550" s="37">
        <v>660</v>
      </c>
      <c r="K550" s="425">
        <v>4264</v>
      </c>
      <c r="L550" s="330" t="s">
        <v>603</v>
      </c>
      <c r="M550" s="428">
        <v>0</v>
      </c>
      <c r="N550" s="428">
        <v>21235.65</v>
      </c>
      <c r="O550" s="428">
        <v>21235.65</v>
      </c>
      <c r="P550" s="428">
        <v>21235.65</v>
      </c>
      <c r="Q550" s="428">
        <v>0</v>
      </c>
      <c r="R550" s="428">
        <v>21069.75</v>
      </c>
      <c r="S550" s="428">
        <v>21069.75</v>
      </c>
      <c r="T550" s="437" t="e">
        <f t="shared" si="223"/>
        <v>#DIV/0!</v>
      </c>
      <c r="U550" s="437">
        <f t="shared" si="224"/>
        <v>100</v>
      </c>
      <c r="V550" s="78"/>
      <c r="W550" s="78"/>
      <c r="X550" s="78"/>
      <c r="Y550" s="78"/>
      <c r="Z550" s="78"/>
      <c r="AA550" s="78"/>
      <c r="AB550" s="78"/>
    </row>
    <row r="551" spans="1:28" s="75" customFormat="1" ht="33.75" customHeight="1">
      <c r="A551" s="37" t="s">
        <v>225</v>
      </c>
      <c r="B551" s="37">
        <v>1</v>
      </c>
      <c r="C551" s="37"/>
      <c r="D551" s="37"/>
      <c r="E551" s="37">
        <v>4</v>
      </c>
      <c r="F551" s="37">
        <v>5</v>
      </c>
      <c r="G551" s="37"/>
      <c r="H551" s="37"/>
      <c r="I551" s="37"/>
      <c r="J551" s="37">
        <v>660</v>
      </c>
      <c r="K551" s="425">
        <v>4264</v>
      </c>
      <c r="L551" s="330" t="s">
        <v>604</v>
      </c>
      <c r="M551" s="428">
        <v>0</v>
      </c>
      <c r="N551" s="428">
        <v>23226.49</v>
      </c>
      <c r="O551" s="428">
        <v>23226.49</v>
      </c>
      <c r="P551" s="428">
        <v>23226.49</v>
      </c>
      <c r="Q551" s="428">
        <v>0</v>
      </c>
      <c r="R551" s="428">
        <v>23226.49</v>
      </c>
      <c r="S551" s="428">
        <v>23226.49</v>
      </c>
      <c r="T551" s="437" t="e">
        <f t="shared" si="223"/>
        <v>#DIV/0!</v>
      </c>
      <c r="U551" s="437">
        <f t="shared" si="224"/>
        <v>100</v>
      </c>
      <c r="V551" s="78"/>
      <c r="W551" s="78"/>
      <c r="X551" s="78"/>
      <c r="Y551" s="78"/>
      <c r="Z551" s="78"/>
      <c r="AA551" s="78"/>
      <c r="AB551" s="78"/>
    </row>
    <row r="552" spans="1:36" s="44" customFormat="1" ht="28.5" customHeight="1">
      <c r="A552" s="37" t="s">
        <v>225</v>
      </c>
      <c r="B552" s="37">
        <v>1</v>
      </c>
      <c r="C552" s="37"/>
      <c r="D552" s="37"/>
      <c r="E552" s="37">
        <v>4</v>
      </c>
      <c r="F552" s="37">
        <v>5</v>
      </c>
      <c r="G552" s="16"/>
      <c r="H552" s="16"/>
      <c r="I552" s="16"/>
      <c r="J552" s="37">
        <v>660</v>
      </c>
      <c r="K552" s="30">
        <v>4264</v>
      </c>
      <c r="L552" s="330" t="s">
        <v>533</v>
      </c>
      <c r="M552" s="424">
        <f>(130425+5000)/7.5345</f>
        <v>17973.98632955073</v>
      </c>
      <c r="N552" s="424">
        <f>M552/7.5345</f>
        <v>2385.5579440640695</v>
      </c>
      <c r="O552" s="424">
        <v>150000</v>
      </c>
      <c r="P552" s="424">
        <f>150000/7.5345</f>
        <v>19908.421262193908</v>
      </c>
      <c r="Q552" s="424">
        <v>3240.84</v>
      </c>
      <c r="R552" s="424">
        <v>19908.42</v>
      </c>
      <c r="S552" s="424">
        <f>3240.84+8906.25+1250+1500</f>
        <v>14897.09</v>
      </c>
      <c r="T552" s="437">
        <f t="shared" si="223"/>
        <v>82.88139162266938</v>
      </c>
      <c r="U552" s="437">
        <f t="shared" si="224"/>
        <v>74.82808781410077</v>
      </c>
      <c r="V552" s="78"/>
      <c r="W552" s="78"/>
      <c r="X552" s="78"/>
      <c r="Y552" s="78"/>
      <c r="Z552" s="78"/>
      <c r="AA552" s="78"/>
      <c r="AB552" s="78"/>
      <c r="AC552" s="75"/>
      <c r="AD552" s="75"/>
      <c r="AE552" s="75"/>
      <c r="AF552" s="75"/>
      <c r="AG552" s="75"/>
      <c r="AH552" s="75"/>
      <c r="AI552" s="75"/>
      <c r="AJ552" s="75"/>
    </row>
    <row r="553" spans="1:36" s="128" customFormat="1" ht="22.5" customHeight="1">
      <c r="A553" s="125"/>
      <c r="B553" s="125"/>
      <c r="C553" s="125"/>
      <c r="D553" s="125"/>
      <c r="E553" s="125"/>
      <c r="F553" s="125"/>
      <c r="G553" s="125"/>
      <c r="H553" s="125"/>
      <c r="I553" s="125"/>
      <c r="J553" s="125"/>
      <c r="K553" s="126"/>
      <c r="L553" s="127" t="s">
        <v>86</v>
      </c>
      <c r="M553" s="421">
        <f aca="true" t="shared" si="227" ref="M553:S553">M547+M543</f>
        <v>41283.429557369425</v>
      </c>
      <c r="N553" s="421">
        <f t="shared" si="227"/>
        <v>73392.25794406407</v>
      </c>
      <c r="O553" s="421">
        <f t="shared" si="227"/>
        <v>394462.14</v>
      </c>
      <c r="P553" s="421">
        <f t="shared" si="227"/>
        <v>90915.12294511912</v>
      </c>
      <c r="Q553" s="421">
        <f t="shared" si="227"/>
        <v>12287.95</v>
      </c>
      <c r="R553" s="421">
        <f t="shared" si="227"/>
        <v>84204.66</v>
      </c>
      <c r="S553" s="421">
        <f t="shared" si="227"/>
        <v>68615.44</v>
      </c>
      <c r="T553" s="421">
        <f t="shared" si="223"/>
        <v>166.20576520816593</v>
      </c>
      <c r="U553" s="421">
        <f t="shared" si="224"/>
        <v>81.48651155411115</v>
      </c>
      <c r="V553" s="78"/>
      <c r="W553" s="78"/>
      <c r="X553" s="78"/>
      <c r="Y553" s="78"/>
      <c r="Z553" s="78"/>
      <c r="AA553" s="78"/>
      <c r="AB553" s="78"/>
      <c r="AC553" s="75"/>
      <c r="AD553" s="75"/>
      <c r="AE553" s="75"/>
      <c r="AF553" s="75"/>
      <c r="AG553" s="75"/>
      <c r="AH553" s="75"/>
      <c r="AI553" s="75"/>
      <c r="AJ553" s="75"/>
    </row>
    <row r="554" spans="1:28" s="75" customFormat="1" ht="22.5" customHeight="1">
      <c r="A554" s="37"/>
      <c r="B554" s="37"/>
      <c r="C554" s="37"/>
      <c r="D554" s="37"/>
      <c r="E554" s="37"/>
      <c r="F554" s="37"/>
      <c r="G554" s="37"/>
      <c r="H554" s="37"/>
      <c r="I554" s="37"/>
      <c r="J554" s="37"/>
      <c r="K554" s="165"/>
      <c r="L554" s="222"/>
      <c r="M554" s="458"/>
      <c r="N554" s="458"/>
      <c r="O554" s="458"/>
      <c r="P554" s="458"/>
      <c r="Q554" s="458"/>
      <c r="R554" s="458"/>
      <c r="S554" s="458"/>
      <c r="T554" s="458"/>
      <c r="U554" s="458"/>
      <c r="V554" s="78"/>
      <c r="W554" s="78"/>
      <c r="X554" s="78"/>
      <c r="Y554" s="78"/>
      <c r="Z554" s="78"/>
      <c r="AA554" s="78"/>
      <c r="AB554" s="78"/>
    </row>
    <row r="555" spans="1:36" s="128" customFormat="1" ht="31.5" customHeight="1">
      <c r="A555" s="79"/>
      <c r="B555" s="79"/>
      <c r="C555" s="79"/>
      <c r="D555" s="79"/>
      <c r="E555" s="79"/>
      <c r="F555" s="79"/>
      <c r="G555" s="79"/>
      <c r="H555" s="79"/>
      <c r="I555" s="79"/>
      <c r="J555" s="79"/>
      <c r="K555" s="231" t="s">
        <v>185</v>
      </c>
      <c r="L555" s="342" t="s">
        <v>612</v>
      </c>
      <c r="M555" s="473"/>
      <c r="N555" s="473"/>
      <c r="O555" s="473"/>
      <c r="P555" s="473"/>
      <c r="Q555" s="473"/>
      <c r="R555" s="459"/>
      <c r="S555" s="459"/>
      <c r="T555" s="459"/>
      <c r="U555" s="459"/>
      <c r="V555" s="78"/>
      <c r="W555" s="78"/>
      <c r="X555" s="78"/>
      <c r="Y555" s="78"/>
      <c r="Z555" s="78"/>
      <c r="AA555" s="78"/>
      <c r="AB555" s="78"/>
      <c r="AC555" s="75"/>
      <c r="AD555" s="75"/>
      <c r="AE555" s="75"/>
      <c r="AF555" s="75"/>
      <c r="AG555" s="75"/>
      <c r="AH555" s="75"/>
      <c r="AI555" s="75"/>
      <c r="AJ555" s="75"/>
    </row>
    <row r="556" spans="1:36" s="128" customFormat="1" ht="22.5" customHeight="1">
      <c r="A556" s="65" t="s">
        <v>591</v>
      </c>
      <c r="B556" s="65">
        <v>1</v>
      </c>
      <c r="C556" s="65"/>
      <c r="D556" s="65"/>
      <c r="E556" s="65">
        <v>4</v>
      </c>
      <c r="F556" s="65">
        <v>5</v>
      </c>
      <c r="G556" s="37"/>
      <c r="H556" s="37"/>
      <c r="I556" s="37"/>
      <c r="J556" s="37">
        <v>660</v>
      </c>
      <c r="K556" s="42">
        <v>4</v>
      </c>
      <c r="L556" s="273" t="s">
        <v>1</v>
      </c>
      <c r="M556" s="428">
        <f aca="true" t="shared" si="228" ref="M556:S557">M557</f>
        <v>0</v>
      </c>
      <c r="N556" s="428">
        <f t="shared" si="228"/>
        <v>13272.280841462605</v>
      </c>
      <c r="O556" s="465">
        <f t="shared" si="228"/>
        <v>13272.280841462605</v>
      </c>
      <c r="P556" s="465">
        <f t="shared" si="228"/>
        <v>13272.280841462605</v>
      </c>
      <c r="Q556" s="465">
        <f t="shared" si="228"/>
        <v>0</v>
      </c>
      <c r="R556" s="465">
        <f t="shared" si="228"/>
        <v>0</v>
      </c>
      <c r="S556" s="465">
        <f t="shared" si="228"/>
        <v>0</v>
      </c>
      <c r="T556" s="437" t="e">
        <f>S556/M556*100</f>
        <v>#DIV/0!</v>
      </c>
      <c r="U556" s="437" t="e">
        <f>S556/R556*100</f>
        <v>#DIV/0!</v>
      </c>
      <c r="V556" s="78"/>
      <c r="W556" s="78"/>
      <c r="X556" s="78"/>
      <c r="Y556" s="78"/>
      <c r="Z556" s="78"/>
      <c r="AA556" s="78"/>
      <c r="AB556" s="78"/>
      <c r="AC556" s="75"/>
      <c r="AD556" s="75"/>
      <c r="AE556" s="75"/>
      <c r="AF556" s="75"/>
      <c r="AG556" s="75"/>
      <c r="AH556" s="75"/>
      <c r="AI556" s="75"/>
      <c r="AJ556" s="75"/>
    </row>
    <row r="557" spans="1:36" s="128" customFormat="1" ht="21.75" customHeight="1">
      <c r="A557" s="65" t="s">
        <v>591</v>
      </c>
      <c r="B557" s="65">
        <v>1</v>
      </c>
      <c r="C557" s="65"/>
      <c r="D557" s="65"/>
      <c r="E557" s="65">
        <v>4</v>
      </c>
      <c r="F557" s="65">
        <v>5</v>
      </c>
      <c r="G557" s="65"/>
      <c r="H557" s="65"/>
      <c r="I557" s="65"/>
      <c r="J557" s="65">
        <v>660</v>
      </c>
      <c r="K557" s="272">
        <v>42</v>
      </c>
      <c r="L557" s="343" t="s">
        <v>28</v>
      </c>
      <c r="M557" s="422">
        <f t="shared" si="228"/>
        <v>0</v>
      </c>
      <c r="N557" s="422">
        <f t="shared" si="228"/>
        <v>13272.280841462605</v>
      </c>
      <c r="O557" s="437">
        <f t="shared" si="228"/>
        <v>13272.280841462605</v>
      </c>
      <c r="P557" s="437">
        <f t="shared" si="228"/>
        <v>13272.280841462605</v>
      </c>
      <c r="Q557" s="437">
        <f t="shared" si="228"/>
        <v>0</v>
      </c>
      <c r="R557" s="437">
        <f t="shared" si="228"/>
        <v>0</v>
      </c>
      <c r="S557" s="437">
        <f t="shared" si="228"/>
        <v>0</v>
      </c>
      <c r="T557" s="437" t="e">
        <f>S557/M557*100</f>
        <v>#DIV/0!</v>
      </c>
      <c r="U557" s="437" t="e">
        <f>S557/R557*100</f>
        <v>#DIV/0!</v>
      </c>
      <c r="V557" s="78"/>
      <c r="W557" s="78"/>
      <c r="X557" s="78"/>
      <c r="Y557" s="78"/>
      <c r="Z557" s="78"/>
      <c r="AA557" s="78"/>
      <c r="AB557" s="78"/>
      <c r="AC557" s="75"/>
      <c r="AD557" s="75"/>
      <c r="AE557" s="75"/>
      <c r="AF557" s="75"/>
      <c r="AG557" s="75"/>
      <c r="AH557" s="75"/>
      <c r="AI557" s="75"/>
      <c r="AJ557" s="75"/>
    </row>
    <row r="558" spans="1:28" s="75" customFormat="1" ht="20.25" customHeight="1">
      <c r="A558" s="65" t="s">
        <v>591</v>
      </c>
      <c r="B558" s="65">
        <v>1</v>
      </c>
      <c r="C558" s="65"/>
      <c r="D558" s="65"/>
      <c r="E558" s="65">
        <v>4</v>
      </c>
      <c r="F558" s="65">
        <v>5</v>
      </c>
      <c r="G558" s="65"/>
      <c r="H558" s="65"/>
      <c r="I558" s="65"/>
      <c r="J558" s="65">
        <v>660</v>
      </c>
      <c r="K558" s="35">
        <v>426</v>
      </c>
      <c r="L558" s="375" t="s">
        <v>611</v>
      </c>
      <c r="M558" s="423">
        <v>0</v>
      </c>
      <c r="N558" s="423">
        <f>100000/7.5345</f>
        <v>13272.280841462605</v>
      </c>
      <c r="O558" s="423">
        <f>100000/7.5345</f>
        <v>13272.280841462605</v>
      </c>
      <c r="P558" s="423">
        <f>100000/7.5345</f>
        <v>13272.280841462605</v>
      </c>
      <c r="Q558" s="423">
        <v>0</v>
      </c>
      <c r="R558" s="423">
        <v>0</v>
      </c>
      <c r="S558" s="423"/>
      <c r="T558" s="437" t="e">
        <f>S558/M558*100</f>
        <v>#DIV/0!</v>
      </c>
      <c r="U558" s="437" t="e">
        <f>S558/R558*100</f>
        <v>#DIV/0!</v>
      </c>
      <c r="V558" s="78"/>
      <c r="W558" s="78"/>
      <c r="X558" s="78"/>
      <c r="Y558" s="78"/>
      <c r="Z558" s="78"/>
      <c r="AA558" s="78"/>
      <c r="AB558" s="78"/>
    </row>
    <row r="559" spans="1:36" s="128" customFormat="1" ht="15.75">
      <c r="A559" s="181"/>
      <c r="B559" s="181"/>
      <c r="C559" s="181"/>
      <c r="D559" s="181"/>
      <c r="E559" s="181"/>
      <c r="F559" s="181"/>
      <c r="G559" s="181"/>
      <c r="H559" s="181"/>
      <c r="I559" s="181"/>
      <c r="J559" s="181"/>
      <c r="K559" s="126"/>
      <c r="L559" s="348" t="s">
        <v>137</v>
      </c>
      <c r="M559" s="421">
        <f aca="true" t="shared" si="229" ref="M559:S559">M556</f>
        <v>0</v>
      </c>
      <c r="N559" s="421">
        <f t="shared" si="229"/>
        <v>13272.280841462605</v>
      </c>
      <c r="O559" s="421">
        <f t="shared" si="229"/>
        <v>13272.280841462605</v>
      </c>
      <c r="P559" s="421">
        <f t="shared" si="229"/>
        <v>13272.280841462605</v>
      </c>
      <c r="Q559" s="421">
        <f t="shared" si="229"/>
        <v>0</v>
      </c>
      <c r="R559" s="421">
        <f t="shared" si="229"/>
        <v>0</v>
      </c>
      <c r="S559" s="421">
        <f t="shared" si="229"/>
        <v>0</v>
      </c>
      <c r="T559" s="421" t="e">
        <f>S559/M559*100</f>
        <v>#DIV/0!</v>
      </c>
      <c r="U559" s="421" t="e">
        <f>S559/R559*100</f>
        <v>#DIV/0!</v>
      </c>
      <c r="V559" s="78"/>
      <c r="W559" s="78"/>
      <c r="X559" s="78"/>
      <c r="Y559" s="78"/>
      <c r="Z559" s="78"/>
      <c r="AA559" s="78"/>
      <c r="AB559" s="78"/>
      <c r="AC559" s="75"/>
      <c r="AD559" s="75"/>
      <c r="AE559" s="75"/>
      <c r="AF559" s="75"/>
      <c r="AG559" s="75"/>
      <c r="AH559" s="75"/>
      <c r="AI559" s="75"/>
      <c r="AJ559" s="75"/>
    </row>
    <row r="560" spans="1:28" s="75" customFormat="1" ht="19.5" customHeight="1">
      <c r="A560" s="65"/>
      <c r="B560" s="65"/>
      <c r="C560" s="65"/>
      <c r="D560" s="65"/>
      <c r="E560" s="65"/>
      <c r="F560" s="65"/>
      <c r="G560" s="65"/>
      <c r="H560" s="65"/>
      <c r="I560" s="65"/>
      <c r="J560" s="65"/>
      <c r="K560" s="165"/>
      <c r="L560" s="178"/>
      <c r="M560" s="458"/>
      <c r="N560" s="458"/>
      <c r="O560" s="458"/>
      <c r="P560" s="458"/>
      <c r="Q560" s="458"/>
      <c r="R560" s="458"/>
      <c r="S560" s="458"/>
      <c r="T560" s="458"/>
      <c r="U560" s="458"/>
      <c r="V560" s="78"/>
      <c r="W560" s="78"/>
      <c r="X560" s="78"/>
      <c r="Y560" s="78"/>
      <c r="Z560" s="78"/>
      <c r="AA560" s="78"/>
      <c r="AB560" s="78"/>
    </row>
    <row r="561" spans="1:21" s="78" customFormat="1" ht="47.25" customHeight="1">
      <c r="A561" s="79"/>
      <c r="B561" s="79"/>
      <c r="C561" s="79"/>
      <c r="D561" s="79"/>
      <c r="E561" s="79"/>
      <c r="F561" s="79"/>
      <c r="G561" s="79"/>
      <c r="H561" s="79"/>
      <c r="I561" s="79"/>
      <c r="J561" s="79"/>
      <c r="K561" s="41" t="s">
        <v>185</v>
      </c>
      <c r="L561" s="342" t="s">
        <v>535</v>
      </c>
      <c r="M561" s="473"/>
      <c r="N561" s="473"/>
      <c r="O561" s="473"/>
      <c r="P561" s="473"/>
      <c r="Q561" s="473"/>
      <c r="R561" s="459"/>
      <c r="S561" s="459"/>
      <c r="T561" s="459"/>
      <c r="U561" s="459"/>
    </row>
    <row r="562" spans="1:28" s="75" customFormat="1" ht="27.75" customHeight="1">
      <c r="A562" s="65" t="s">
        <v>592</v>
      </c>
      <c r="B562" s="65">
        <v>1</v>
      </c>
      <c r="C562" s="65"/>
      <c r="D562" s="65"/>
      <c r="E562" s="307">
        <v>4</v>
      </c>
      <c r="F562" s="65">
        <v>5</v>
      </c>
      <c r="G562" s="37"/>
      <c r="H562" s="37"/>
      <c r="I562" s="37"/>
      <c r="J562" s="37">
        <v>660</v>
      </c>
      <c r="K562" s="274">
        <v>4</v>
      </c>
      <c r="L562" s="273" t="s">
        <v>1</v>
      </c>
      <c r="M562" s="428">
        <f aca="true" t="shared" si="230" ref="M562:S564">M563</f>
        <v>0</v>
      </c>
      <c r="N562" s="428">
        <f t="shared" si="230"/>
        <v>59725.26</v>
      </c>
      <c r="O562" s="465">
        <f t="shared" si="230"/>
        <v>59725.26</v>
      </c>
      <c r="P562" s="465">
        <f t="shared" si="230"/>
        <v>61000</v>
      </c>
      <c r="Q562" s="465">
        <f t="shared" si="230"/>
        <v>0</v>
      </c>
      <c r="R562" s="465">
        <f t="shared" si="230"/>
        <v>7000</v>
      </c>
      <c r="S562" s="465">
        <f t="shared" si="230"/>
        <v>0</v>
      </c>
      <c r="T562" s="437" t="e">
        <f>S562/M562*100</f>
        <v>#DIV/0!</v>
      </c>
      <c r="U562" s="437">
        <f>S562/R562*100</f>
        <v>0</v>
      </c>
      <c r="V562" s="78"/>
      <c r="W562" s="78"/>
      <c r="X562" s="78"/>
      <c r="Y562" s="78"/>
      <c r="Z562" s="78"/>
      <c r="AA562" s="78"/>
      <c r="AB562" s="78"/>
    </row>
    <row r="563" spans="1:28" s="75" customFormat="1" ht="18.75" customHeight="1">
      <c r="A563" s="65" t="s">
        <v>592</v>
      </c>
      <c r="B563" s="65">
        <v>1</v>
      </c>
      <c r="C563" s="65"/>
      <c r="D563" s="65"/>
      <c r="E563" s="307">
        <v>4</v>
      </c>
      <c r="F563" s="65">
        <v>5</v>
      </c>
      <c r="G563" s="65"/>
      <c r="H563" s="65"/>
      <c r="I563" s="65"/>
      <c r="J563" s="65">
        <v>660</v>
      </c>
      <c r="K563" s="272">
        <v>42</v>
      </c>
      <c r="L563" s="343" t="s">
        <v>28</v>
      </c>
      <c r="M563" s="422">
        <f t="shared" si="230"/>
        <v>0</v>
      </c>
      <c r="N563" s="422">
        <f t="shared" si="230"/>
        <v>59725.26</v>
      </c>
      <c r="O563" s="437">
        <f t="shared" si="230"/>
        <v>59725.26</v>
      </c>
      <c r="P563" s="437">
        <f t="shared" si="230"/>
        <v>61000</v>
      </c>
      <c r="Q563" s="437">
        <f t="shared" si="230"/>
        <v>0</v>
      </c>
      <c r="R563" s="437">
        <f t="shared" si="230"/>
        <v>7000</v>
      </c>
      <c r="S563" s="437">
        <f t="shared" si="230"/>
        <v>0</v>
      </c>
      <c r="T563" s="437" t="e">
        <f>S563/M563*100</f>
        <v>#DIV/0!</v>
      </c>
      <c r="U563" s="437">
        <f>S563/R563*100</f>
        <v>0</v>
      </c>
      <c r="V563" s="78"/>
      <c r="W563" s="78"/>
      <c r="X563" s="78"/>
      <c r="Y563" s="78"/>
      <c r="Z563" s="78"/>
      <c r="AA563" s="78"/>
      <c r="AB563" s="78"/>
    </row>
    <row r="564" spans="1:28" s="75" customFormat="1" ht="27" customHeight="1">
      <c r="A564" s="65" t="s">
        <v>592</v>
      </c>
      <c r="B564" s="65">
        <v>1</v>
      </c>
      <c r="C564" s="65"/>
      <c r="D564" s="65"/>
      <c r="E564" s="307">
        <v>4</v>
      </c>
      <c r="F564" s="65">
        <v>5</v>
      </c>
      <c r="G564" s="65"/>
      <c r="H564" s="65"/>
      <c r="I564" s="65"/>
      <c r="J564" s="307">
        <v>660</v>
      </c>
      <c r="K564" s="272">
        <v>426</v>
      </c>
      <c r="L564" s="343" t="s">
        <v>319</v>
      </c>
      <c r="M564" s="422">
        <f>M565</f>
        <v>0</v>
      </c>
      <c r="N564" s="422">
        <f>N565</f>
        <v>59725.26</v>
      </c>
      <c r="O564" s="422">
        <f t="shared" si="230"/>
        <v>59725.26</v>
      </c>
      <c r="P564" s="422">
        <f t="shared" si="230"/>
        <v>61000</v>
      </c>
      <c r="Q564" s="422">
        <f t="shared" si="230"/>
        <v>0</v>
      </c>
      <c r="R564" s="422">
        <f t="shared" si="230"/>
        <v>7000</v>
      </c>
      <c r="S564" s="422">
        <f t="shared" si="230"/>
        <v>0</v>
      </c>
      <c r="T564" s="437" t="e">
        <f>S564/M564*100</f>
        <v>#DIV/0!</v>
      </c>
      <c r="U564" s="437">
        <f>S564/R564*100</f>
        <v>0</v>
      </c>
      <c r="V564" s="78"/>
      <c r="W564" s="78"/>
      <c r="X564" s="78"/>
      <c r="Y564" s="78"/>
      <c r="Z564" s="78"/>
      <c r="AA564" s="78"/>
      <c r="AB564" s="78"/>
    </row>
    <row r="565" spans="1:36" s="128" customFormat="1" ht="26.25" customHeight="1">
      <c r="A565" s="65" t="s">
        <v>592</v>
      </c>
      <c r="B565" s="65">
        <v>1</v>
      </c>
      <c r="C565" s="65"/>
      <c r="D565" s="65"/>
      <c r="E565" s="307">
        <v>4</v>
      </c>
      <c r="F565" s="65">
        <v>5</v>
      </c>
      <c r="G565" s="65"/>
      <c r="H565" s="65"/>
      <c r="I565" s="65"/>
      <c r="J565" s="307">
        <v>660</v>
      </c>
      <c r="K565" s="42">
        <v>4264</v>
      </c>
      <c r="L565" s="330" t="s">
        <v>536</v>
      </c>
      <c r="M565" s="422">
        <v>0</v>
      </c>
      <c r="N565" s="422">
        <v>59725.26</v>
      </c>
      <c r="O565" s="422">
        <v>59725.26</v>
      </c>
      <c r="P565" s="422">
        <v>61000</v>
      </c>
      <c r="Q565" s="422">
        <v>0</v>
      </c>
      <c r="R565" s="422">
        <v>7000</v>
      </c>
      <c r="S565" s="422"/>
      <c r="T565" s="437" t="e">
        <f>S565/M565*100</f>
        <v>#DIV/0!</v>
      </c>
      <c r="U565" s="437">
        <f>S565/R565*100</f>
        <v>0</v>
      </c>
      <c r="V565" s="78"/>
      <c r="W565" s="78"/>
      <c r="X565" s="78"/>
      <c r="Y565" s="78"/>
      <c r="Z565" s="78"/>
      <c r="AA565" s="78"/>
      <c r="AB565" s="78"/>
      <c r="AC565" s="75"/>
      <c r="AD565" s="75"/>
      <c r="AE565" s="75"/>
      <c r="AF565" s="75"/>
      <c r="AG565" s="75"/>
      <c r="AH565" s="75"/>
      <c r="AI565" s="75"/>
      <c r="AJ565" s="75"/>
    </row>
    <row r="566" spans="1:21" s="78" customFormat="1" ht="21.75" customHeight="1">
      <c r="A566" s="181"/>
      <c r="B566" s="181"/>
      <c r="C566" s="181"/>
      <c r="D566" s="181"/>
      <c r="E566" s="181"/>
      <c r="F566" s="181"/>
      <c r="G566" s="181"/>
      <c r="H566" s="181"/>
      <c r="I566" s="181"/>
      <c r="J566" s="181"/>
      <c r="K566" s="126"/>
      <c r="L566" s="348" t="s">
        <v>86</v>
      </c>
      <c r="M566" s="421">
        <f aca="true" t="shared" si="231" ref="M566:S566">M562</f>
        <v>0</v>
      </c>
      <c r="N566" s="421">
        <f t="shared" si="231"/>
        <v>59725.26</v>
      </c>
      <c r="O566" s="421">
        <f t="shared" si="231"/>
        <v>59725.26</v>
      </c>
      <c r="P566" s="421">
        <f t="shared" si="231"/>
        <v>61000</v>
      </c>
      <c r="Q566" s="421">
        <f t="shared" si="231"/>
        <v>0</v>
      </c>
      <c r="R566" s="421">
        <f t="shared" si="231"/>
        <v>7000</v>
      </c>
      <c r="S566" s="421">
        <f t="shared" si="231"/>
        <v>0</v>
      </c>
      <c r="T566" s="421" t="e">
        <f>S566/M566*100</f>
        <v>#DIV/0!</v>
      </c>
      <c r="U566" s="421">
        <f>S566/R566*100</f>
        <v>0</v>
      </c>
    </row>
    <row r="567" spans="1:21" s="78" customFormat="1" ht="18.75" customHeight="1">
      <c r="A567" s="65"/>
      <c r="B567" s="65"/>
      <c r="C567" s="65"/>
      <c r="D567" s="65"/>
      <c r="E567" s="65"/>
      <c r="F567" s="65"/>
      <c r="G567" s="65"/>
      <c r="H567" s="65"/>
      <c r="I567" s="65"/>
      <c r="J567" s="65"/>
      <c r="K567" s="165"/>
      <c r="L567" s="178"/>
      <c r="M567" s="458"/>
      <c r="N567" s="458"/>
      <c r="O567" s="458"/>
      <c r="P567" s="458"/>
      <c r="Q567" s="458"/>
      <c r="R567" s="458"/>
      <c r="S567" s="458"/>
      <c r="T567" s="458"/>
      <c r="U567" s="458"/>
    </row>
    <row r="568" spans="1:28" s="75" customFormat="1" ht="63" customHeight="1">
      <c r="A568" s="268" t="s">
        <v>577</v>
      </c>
      <c r="B568" s="79"/>
      <c r="C568" s="79"/>
      <c r="D568" s="79"/>
      <c r="E568" s="79"/>
      <c r="F568" s="79"/>
      <c r="G568" s="79"/>
      <c r="H568" s="79"/>
      <c r="I568" s="79"/>
      <c r="J568" s="79"/>
      <c r="K568" s="41" t="s">
        <v>185</v>
      </c>
      <c r="L568" s="336" t="s">
        <v>561</v>
      </c>
      <c r="M568" s="473"/>
      <c r="N568" s="473"/>
      <c r="O568" s="473"/>
      <c r="P568" s="473"/>
      <c r="Q568" s="473"/>
      <c r="R568" s="473"/>
      <c r="S568" s="473"/>
      <c r="T568" s="473"/>
      <c r="U568" s="473"/>
      <c r="V568" s="78"/>
      <c r="W568" s="78"/>
      <c r="X568" s="78"/>
      <c r="Y568" s="78"/>
      <c r="Z568" s="78"/>
      <c r="AA568" s="78"/>
      <c r="AB568" s="78"/>
    </row>
    <row r="569" spans="1:28" s="75" customFormat="1" ht="21.75" customHeight="1">
      <c r="A569" s="170" t="s">
        <v>577</v>
      </c>
      <c r="B569" s="65">
        <v>1</v>
      </c>
      <c r="C569" s="65"/>
      <c r="D569" s="65"/>
      <c r="E569" s="65">
        <v>4</v>
      </c>
      <c r="F569" s="65">
        <v>5</v>
      </c>
      <c r="G569" s="37"/>
      <c r="H569" s="37"/>
      <c r="I569" s="37"/>
      <c r="J569" s="37">
        <v>660</v>
      </c>
      <c r="K569" s="274">
        <v>4</v>
      </c>
      <c r="L569" s="273" t="s">
        <v>1</v>
      </c>
      <c r="M569" s="428">
        <f aca="true" t="shared" si="232" ref="M569:S570">M570</f>
        <v>0</v>
      </c>
      <c r="N569" s="428">
        <f t="shared" si="232"/>
        <v>7963.37</v>
      </c>
      <c r="O569" s="428">
        <f t="shared" si="232"/>
        <v>7963.37</v>
      </c>
      <c r="P569" s="428">
        <f t="shared" si="232"/>
        <v>7963.37</v>
      </c>
      <c r="Q569" s="465">
        <f t="shared" si="232"/>
        <v>0</v>
      </c>
      <c r="R569" s="465">
        <f t="shared" si="232"/>
        <v>0</v>
      </c>
      <c r="S569" s="465">
        <f t="shared" si="232"/>
        <v>0</v>
      </c>
      <c r="T569" s="437" t="e">
        <f aca="true" t="shared" si="233" ref="T569:T574">S569/M569*100</f>
        <v>#DIV/0!</v>
      </c>
      <c r="U569" s="437" t="e">
        <f aca="true" t="shared" si="234" ref="U569:U574">S569/R569*100</f>
        <v>#DIV/0!</v>
      </c>
      <c r="V569" s="78"/>
      <c r="W569" s="78"/>
      <c r="X569" s="78"/>
      <c r="Y569" s="78"/>
      <c r="Z569" s="78"/>
      <c r="AA569" s="78"/>
      <c r="AB569" s="78"/>
    </row>
    <row r="570" spans="1:28" s="75" customFormat="1" ht="15" customHeight="1">
      <c r="A570" s="170" t="s">
        <v>577</v>
      </c>
      <c r="B570" s="65">
        <v>1</v>
      </c>
      <c r="C570" s="65"/>
      <c r="D570" s="65"/>
      <c r="E570" s="65">
        <v>4</v>
      </c>
      <c r="F570" s="65">
        <v>5</v>
      </c>
      <c r="G570" s="65"/>
      <c r="H570" s="65"/>
      <c r="I570" s="65"/>
      <c r="J570" s="65">
        <v>660</v>
      </c>
      <c r="K570" s="272">
        <v>42</v>
      </c>
      <c r="L570" s="343" t="s">
        <v>28</v>
      </c>
      <c r="M570" s="422">
        <f t="shared" si="232"/>
        <v>0</v>
      </c>
      <c r="N570" s="422">
        <f t="shared" si="232"/>
        <v>7963.37</v>
      </c>
      <c r="O570" s="422">
        <f t="shared" si="232"/>
        <v>7963.37</v>
      </c>
      <c r="P570" s="422">
        <f t="shared" si="232"/>
        <v>7963.37</v>
      </c>
      <c r="Q570" s="437">
        <f t="shared" si="232"/>
        <v>0</v>
      </c>
      <c r="R570" s="437">
        <f t="shared" si="232"/>
        <v>0</v>
      </c>
      <c r="S570" s="437">
        <f t="shared" si="232"/>
        <v>0</v>
      </c>
      <c r="T570" s="437" t="e">
        <f t="shared" si="233"/>
        <v>#DIV/0!</v>
      </c>
      <c r="U570" s="437" t="e">
        <f t="shared" si="234"/>
        <v>#DIV/0!</v>
      </c>
      <c r="V570" s="78"/>
      <c r="W570" s="78"/>
      <c r="X570" s="78"/>
      <c r="Y570" s="78"/>
      <c r="Z570" s="78"/>
      <c r="AA570" s="78"/>
      <c r="AB570" s="78"/>
    </row>
    <row r="571" spans="1:28" s="75" customFormat="1" ht="20.25" customHeight="1">
      <c r="A571" s="170" t="s">
        <v>577</v>
      </c>
      <c r="B571" s="65">
        <v>1</v>
      </c>
      <c r="C571" s="65"/>
      <c r="D571" s="65"/>
      <c r="E571" s="65">
        <v>4</v>
      </c>
      <c r="F571" s="65">
        <v>5</v>
      </c>
      <c r="G571" s="65"/>
      <c r="H571" s="65"/>
      <c r="I571" s="65"/>
      <c r="J571" s="307">
        <v>660</v>
      </c>
      <c r="K571" s="272">
        <v>426</v>
      </c>
      <c r="L571" s="347" t="s">
        <v>319</v>
      </c>
      <c r="M571" s="422">
        <f>M572+M573</f>
        <v>0</v>
      </c>
      <c r="N571" s="422">
        <f>N572+N573</f>
        <v>7963.37</v>
      </c>
      <c r="O571" s="437">
        <f>O572+O573</f>
        <v>7963.37</v>
      </c>
      <c r="P571" s="437">
        <f>P572+P573</f>
        <v>7963.37</v>
      </c>
      <c r="Q571" s="437">
        <f>Q572+Q573</f>
        <v>0</v>
      </c>
      <c r="R571" s="437"/>
      <c r="S571" s="437"/>
      <c r="T571" s="437" t="e">
        <f t="shared" si="233"/>
        <v>#DIV/0!</v>
      </c>
      <c r="U571" s="437" t="e">
        <f t="shared" si="234"/>
        <v>#DIV/0!</v>
      </c>
      <c r="V571" s="78"/>
      <c r="W571" s="78"/>
      <c r="X571" s="78"/>
      <c r="Y571" s="78"/>
      <c r="Z571" s="78"/>
      <c r="AA571" s="78"/>
      <c r="AB571" s="78"/>
    </row>
    <row r="572" spans="1:28" s="75" customFormat="1" ht="20.25" customHeight="1">
      <c r="A572" s="170" t="s">
        <v>577</v>
      </c>
      <c r="B572" s="65">
        <v>1</v>
      </c>
      <c r="C572" s="65"/>
      <c r="D572" s="65"/>
      <c r="E572" s="65">
        <v>4</v>
      </c>
      <c r="F572" s="65">
        <v>5</v>
      </c>
      <c r="G572" s="65"/>
      <c r="H572" s="65"/>
      <c r="I572" s="65"/>
      <c r="J572" s="307">
        <v>660</v>
      </c>
      <c r="K572" s="42">
        <v>4264</v>
      </c>
      <c r="L572" s="346" t="s">
        <v>537</v>
      </c>
      <c r="M572" s="422">
        <v>0</v>
      </c>
      <c r="N572" s="422">
        <v>7963.37</v>
      </c>
      <c r="O572" s="422">
        <v>7963.37</v>
      </c>
      <c r="P572" s="422">
        <v>7963.37</v>
      </c>
      <c r="Q572" s="422">
        <v>0</v>
      </c>
      <c r="R572" s="422">
        <v>0</v>
      </c>
      <c r="S572" s="422"/>
      <c r="T572" s="437" t="e">
        <f t="shared" si="233"/>
        <v>#DIV/0!</v>
      </c>
      <c r="U572" s="437" t="e">
        <f t="shared" si="234"/>
        <v>#DIV/0!</v>
      </c>
      <c r="V572" s="78"/>
      <c r="W572" s="78"/>
      <c r="X572" s="78"/>
      <c r="Y572" s="78"/>
      <c r="Z572" s="78"/>
      <c r="AA572" s="78"/>
      <c r="AB572" s="78"/>
    </row>
    <row r="573" spans="1:36" s="128" customFormat="1" ht="23.25" customHeight="1">
      <c r="A573" s="170" t="s">
        <v>577</v>
      </c>
      <c r="B573" s="65">
        <v>1</v>
      </c>
      <c r="C573" s="65"/>
      <c r="D573" s="65"/>
      <c r="E573" s="65">
        <v>4</v>
      </c>
      <c r="F573" s="65">
        <v>5</v>
      </c>
      <c r="G573" s="65"/>
      <c r="H573" s="65"/>
      <c r="I573" s="65"/>
      <c r="J573" s="307">
        <v>660</v>
      </c>
      <c r="K573" s="42">
        <v>4264</v>
      </c>
      <c r="L573" s="330" t="s">
        <v>538</v>
      </c>
      <c r="M573" s="422">
        <v>0</v>
      </c>
      <c r="N573" s="422">
        <v>0</v>
      </c>
      <c r="O573" s="422">
        <v>0</v>
      </c>
      <c r="P573" s="422">
        <v>0</v>
      </c>
      <c r="Q573" s="422">
        <v>0</v>
      </c>
      <c r="R573" s="422">
        <v>0</v>
      </c>
      <c r="S573" s="422"/>
      <c r="T573" s="437" t="e">
        <f t="shared" si="233"/>
        <v>#DIV/0!</v>
      </c>
      <c r="U573" s="437" t="e">
        <f t="shared" si="234"/>
        <v>#DIV/0!</v>
      </c>
      <c r="V573" s="78"/>
      <c r="W573" s="78"/>
      <c r="X573" s="78"/>
      <c r="Y573" s="78"/>
      <c r="Z573" s="78"/>
      <c r="AA573" s="78"/>
      <c r="AB573" s="78"/>
      <c r="AC573" s="75"/>
      <c r="AD573" s="75"/>
      <c r="AE573" s="75"/>
      <c r="AF573" s="75"/>
      <c r="AG573" s="75"/>
      <c r="AH573" s="75"/>
      <c r="AI573" s="75"/>
      <c r="AJ573" s="75"/>
    </row>
    <row r="574" spans="1:21" s="78" customFormat="1" ht="18" customHeight="1">
      <c r="A574" s="181"/>
      <c r="B574" s="181"/>
      <c r="C574" s="181"/>
      <c r="D574" s="181"/>
      <c r="E574" s="181"/>
      <c r="F574" s="181"/>
      <c r="G574" s="181"/>
      <c r="H574" s="181"/>
      <c r="I574" s="181"/>
      <c r="J574" s="181"/>
      <c r="K574" s="126"/>
      <c r="L574" s="348" t="s">
        <v>86</v>
      </c>
      <c r="M574" s="421">
        <f aca="true" t="shared" si="235" ref="M574:S574">M569</f>
        <v>0</v>
      </c>
      <c r="N574" s="421">
        <f t="shared" si="235"/>
        <v>7963.37</v>
      </c>
      <c r="O574" s="421">
        <f t="shared" si="235"/>
        <v>7963.37</v>
      </c>
      <c r="P574" s="421">
        <f t="shared" si="235"/>
        <v>7963.37</v>
      </c>
      <c r="Q574" s="421">
        <f t="shared" si="235"/>
        <v>0</v>
      </c>
      <c r="R574" s="421">
        <f t="shared" si="235"/>
        <v>0</v>
      </c>
      <c r="S574" s="421">
        <f t="shared" si="235"/>
        <v>0</v>
      </c>
      <c r="T574" s="421" t="e">
        <f t="shared" si="233"/>
        <v>#DIV/0!</v>
      </c>
      <c r="U574" s="421" t="e">
        <f t="shared" si="234"/>
        <v>#DIV/0!</v>
      </c>
    </row>
    <row r="575" spans="1:28" s="75" customFormat="1" ht="30.75" customHeight="1">
      <c r="A575" s="65"/>
      <c r="B575" s="65"/>
      <c r="C575" s="65"/>
      <c r="D575" s="65"/>
      <c r="E575" s="65"/>
      <c r="F575" s="65"/>
      <c r="G575" s="65"/>
      <c r="H575" s="65"/>
      <c r="I575" s="65"/>
      <c r="J575" s="65"/>
      <c r="K575" s="165"/>
      <c r="L575" s="222"/>
      <c r="M575" s="458"/>
      <c r="N575" s="458"/>
      <c r="O575" s="458"/>
      <c r="P575" s="458"/>
      <c r="Q575" s="458"/>
      <c r="R575" s="458"/>
      <c r="S575" s="458"/>
      <c r="T575" s="458"/>
      <c r="U575" s="458"/>
      <c r="V575" s="78"/>
      <c r="W575" s="78"/>
      <c r="X575" s="78"/>
      <c r="Y575" s="78"/>
      <c r="Z575" s="78"/>
      <c r="AA575" s="78"/>
      <c r="AB575" s="78"/>
    </row>
    <row r="576" spans="1:28" s="75" customFormat="1" ht="30" customHeight="1">
      <c r="A576" s="79" t="s">
        <v>578</v>
      </c>
      <c r="B576" s="79"/>
      <c r="C576" s="79"/>
      <c r="D576" s="79"/>
      <c r="E576" s="79"/>
      <c r="F576" s="79"/>
      <c r="G576" s="79"/>
      <c r="H576" s="79"/>
      <c r="I576" s="79"/>
      <c r="J576" s="79"/>
      <c r="K576" s="41" t="s">
        <v>185</v>
      </c>
      <c r="L576" s="338" t="s">
        <v>539</v>
      </c>
      <c r="M576" s="473"/>
      <c r="N576" s="473"/>
      <c r="O576" s="473"/>
      <c r="P576" s="473"/>
      <c r="Q576" s="473"/>
      <c r="R576" s="473"/>
      <c r="S576" s="473"/>
      <c r="T576" s="473"/>
      <c r="U576" s="473"/>
      <c r="V576" s="78"/>
      <c r="W576" s="78"/>
      <c r="X576" s="78"/>
      <c r="Y576" s="78"/>
      <c r="Z576" s="78"/>
      <c r="AA576" s="78"/>
      <c r="AB576" s="78"/>
    </row>
    <row r="577" spans="1:28" s="75" customFormat="1" ht="19.5" customHeight="1">
      <c r="A577" s="65" t="s">
        <v>578</v>
      </c>
      <c r="B577" s="65">
        <v>1</v>
      </c>
      <c r="C577" s="65"/>
      <c r="D577" s="65"/>
      <c r="E577" s="65">
        <v>4</v>
      </c>
      <c r="F577" s="65">
        <v>5</v>
      </c>
      <c r="G577" s="37"/>
      <c r="H577" s="37"/>
      <c r="I577" s="37"/>
      <c r="J577" s="37">
        <v>660</v>
      </c>
      <c r="K577" s="274">
        <v>4</v>
      </c>
      <c r="L577" s="273" t="s">
        <v>1</v>
      </c>
      <c r="M577" s="428">
        <f aca="true" t="shared" si="236" ref="M577:S578">M578</f>
        <v>0</v>
      </c>
      <c r="N577" s="428">
        <f t="shared" si="236"/>
        <v>0</v>
      </c>
      <c r="O577" s="465">
        <f t="shared" si="236"/>
        <v>500000</v>
      </c>
      <c r="P577" s="465">
        <f t="shared" si="236"/>
        <v>0</v>
      </c>
      <c r="Q577" s="465">
        <f t="shared" si="236"/>
        <v>0</v>
      </c>
      <c r="R577" s="465">
        <f t="shared" si="236"/>
        <v>0</v>
      </c>
      <c r="S577" s="465">
        <f t="shared" si="236"/>
        <v>0</v>
      </c>
      <c r="T577" s="437" t="e">
        <f aca="true" t="shared" si="237" ref="T577:T582">S577/M577*100</f>
        <v>#DIV/0!</v>
      </c>
      <c r="U577" s="437" t="e">
        <f aca="true" t="shared" si="238" ref="U577:U582">S577/R577*100</f>
        <v>#DIV/0!</v>
      </c>
      <c r="V577" s="78"/>
      <c r="W577" s="78"/>
      <c r="X577" s="78"/>
      <c r="Y577" s="78"/>
      <c r="Z577" s="78"/>
      <c r="AA577" s="78"/>
      <c r="AB577" s="78"/>
    </row>
    <row r="578" spans="1:28" s="75" customFormat="1" ht="19.5" customHeight="1">
      <c r="A578" s="65" t="s">
        <v>578</v>
      </c>
      <c r="B578" s="65">
        <v>1</v>
      </c>
      <c r="C578" s="65"/>
      <c r="D578" s="65"/>
      <c r="E578" s="65">
        <v>4</v>
      </c>
      <c r="F578" s="65">
        <v>5</v>
      </c>
      <c r="G578" s="65"/>
      <c r="H578" s="65"/>
      <c r="I578" s="65"/>
      <c r="J578" s="65">
        <v>660</v>
      </c>
      <c r="K578" s="272">
        <v>42</v>
      </c>
      <c r="L578" s="328" t="s">
        <v>28</v>
      </c>
      <c r="M578" s="422">
        <f t="shared" si="236"/>
        <v>0</v>
      </c>
      <c r="N578" s="422">
        <f t="shared" si="236"/>
        <v>0</v>
      </c>
      <c r="O578" s="437">
        <f t="shared" si="236"/>
        <v>500000</v>
      </c>
      <c r="P578" s="437">
        <f t="shared" si="236"/>
        <v>0</v>
      </c>
      <c r="Q578" s="437">
        <f t="shared" si="236"/>
        <v>0</v>
      </c>
      <c r="R578" s="437">
        <f t="shared" si="236"/>
        <v>0</v>
      </c>
      <c r="S578" s="437">
        <f t="shared" si="236"/>
        <v>0</v>
      </c>
      <c r="T578" s="437" t="e">
        <f t="shared" si="237"/>
        <v>#DIV/0!</v>
      </c>
      <c r="U578" s="437" t="e">
        <f t="shared" si="238"/>
        <v>#DIV/0!</v>
      </c>
      <c r="V578" s="78"/>
      <c r="W578" s="78"/>
      <c r="X578" s="78"/>
      <c r="Y578" s="78"/>
      <c r="Z578" s="78"/>
      <c r="AA578" s="78"/>
      <c r="AB578" s="78"/>
    </row>
    <row r="579" spans="1:28" s="75" customFormat="1" ht="14.25" customHeight="1">
      <c r="A579" s="65" t="s">
        <v>578</v>
      </c>
      <c r="B579" s="65">
        <v>1</v>
      </c>
      <c r="C579" s="65"/>
      <c r="D579" s="65"/>
      <c r="E579" s="65">
        <v>4</v>
      </c>
      <c r="F579" s="65">
        <v>5</v>
      </c>
      <c r="G579" s="65"/>
      <c r="H579" s="65"/>
      <c r="I579" s="65"/>
      <c r="J579" s="307">
        <v>660</v>
      </c>
      <c r="K579" s="272">
        <v>426</v>
      </c>
      <c r="L579" s="343" t="s">
        <v>319</v>
      </c>
      <c r="M579" s="422">
        <f aca="true" t="shared" si="239" ref="M579:S579">M580+M581</f>
        <v>0</v>
      </c>
      <c r="N579" s="422">
        <f t="shared" si="239"/>
        <v>0</v>
      </c>
      <c r="O579" s="437">
        <f t="shared" si="239"/>
        <v>500000</v>
      </c>
      <c r="P579" s="437">
        <f t="shared" si="239"/>
        <v>0</v>
      </c>
      <c r="Q579" s="437">
        <f t="shared" si="239"/>
        <v>0</v>
      </c>
      <c r="R579" s="437">
        <f t="shared" si="239"/>
        <v>0</v>
      </c>
      <c r="S579" s="437">
        <f t="shared" si="239"/>
        <v>0</v>
      </c>
      <c r="T579" s="437" t="e">
        <f t="shared" si="237"/>
        <v>#DIV/0!</v>
      </c>
      <c r="U579" s="437" t="e">
        <f t="shared" si="238"/>
        <v>#DIV/0!</v>
      </c>
      <c r="V579" s="78"/>
      <c r="W579" s="78"/>
      <c r="X579" s="78"/>
      <c r="Y579" s="78"/>
      <c r="Z579" s="78"/>
      <c r="AA579" s="78"/>
      <c r="AB579" s="78"/>
    </row>
    <row r="580" spans="1:36" s="128" customFormat="1" ht="20.25" customHeight="1">
      <c r="A580" s="65" t="s">
        <v>578</v>
      </c>
      <c r="B580" s="65">
        <v>1</v>
      </c>
      <c r="C580" s="65"/>
      <c r="D580" s="65"/>
      <c r="E580" s="65">
        <v>4</v>
      </c>
      <c r="F580" s="65">
        <v>5</v>
      </c>
      <c r="G580" s="65"/>
      <c r="H580" s="65"/>
      <c r="I580" s="65"/>
      <c r="J580" s="307">
        <v>660</v>
      </c>
      <c r="K580" s="42">
        <v>4264</v>
      </c>
      <c r="L580" s="344" t="s">
        <v>537</v>
      </c>
      <c r="M580" s="422">
        <v>0</v>
      </c>
      <c r="N580" s="422">
        <v>0</v>
      </c>
      <c r="O580" s="422">
        <v>50000</v>
      </c>
      <c r="P580" s="422">
        <v>0</v>
      </c>
      <c r="Q580" s="422">
        <v>0</v>
      </c>
      <c r="R580" s="422">
        <v>0</v>
      </c>
      <c r="S580" s="422"/>
      <c r="T580" s="437" t="e">
        <f t="shared" si="237"/>
        <v>#DIV/0!</v>
      </c>
      <c r="U580" s="437" t="e">
        <f t="shared" si="238"/>
        <v>#DIV/0!</v>
      </c>
      <c r="V580" s="78"/>
      <c r="W580" s="78"/>
      <c r="X580" s="78"/>
      <c r="Y580" s="78"/>
      <c r="Z580" s="78"/>
      <c r="AA580" s="78"/>
      <c r="AB580" s="78"/>
      <c r="AC580" s="75"/>
      <c r="AD580" s="75"/>
      <c r="AE580" s="75"/>
      <c r="AF580" s="75"/>
      <c r="AG580" s="75"/>
      <c r="AH580" s="75"/>
      <c r="AI580" s="75"/>
      <c r="AJ580" s="75"/>
    </row>
    <row r="581" spans="1:21" s="78" customFormat="1" ht="21" customHeight="1">
      <c r="A581" s="65" t="s">
        <v>578</v>
      </c>
      <c r="B581" s="65">
        <v>1</v>
      </c>
      <c r="C581" s="65"/>
      <c r="D581" s="65"/>
      <c r="E581" s="65">
        <v>4</v>
      </c>
      <c r="F581" s="65">
        <v>5</v>
      </c>
      <c r="G581" s="65"/>
      <c r="H581" s="65"/>
      <c r="I581" s="65"/>
      <c r="J581" s="307">
        <v>660</v>
      </c>
      <c r="K581" s="42">
        <v>4264</v>
      </c>
      <c r="L581" s="330" t="s">
        <v>538</v>
      </c>
      <c r="M581" s="422">
        <v>0</v>
      </c>
      <c r="N581" s="422">
        <v>0</v>
      </c>
      <c r="O581" s="422">
        <v>450000</v>
      </c>
      <c r="P581" s="422">
        <v>0</v>
      </c>
      <c r="Q581" s="422">
        <v>0</v>
      </c>
      <c r="R581" s="422">
        <v>0</v>
      </c>
      <c r="S581" s="422"/>
      <c r="T581" s="437" t="e">
        <f t="shared" si="237"/>
        <v>#DIV/0!</v>
      </c>
      <c r="U581" s="437" t="e">
        <f t="shared" si="238"/>
        <v>#DIV/0!</v>
      </c>
    </row>
    <row r="582" spans="1:28" s="75" customFormat="1" ht="18" customHeight="1">
      <c r="A582" s="181"/>
      <c r="B582" s="181"/>
      <c r="C582" s="181"/>
      <c r="D582" s="181"/>
      <c r="E582" s="181"/>
      <c r="F582" s="181"/>
      <c r="G582" s="181"/>
      <c r="H582" s="181"/>
      <c r="I582" s="181"/>
      <c r="J582" s="181"/>
      <c r="K582" s="126"/>
      <c r="L582" s="348" t="s">
        <v>137</v>
      </c>
      <c r="M582" s="421">
        <f aca="true" t="shared" si="240" ref="M582:S582">M577</f>
        <v>0</v>
      </c>
      <c r="N582" s="421">
        <f t="shared" si="240"/>
        <v>0</v>
      </c>
      <c r="O582" s="421">
        <f t="shared" si="240"/>
        <v>500000</v>
      </c>
      <c r="P582" s="421">
        <f t="shared" si="240"/>
        <v>0</v>
      </c>
      <c r="Q582" s="421">
        <f t="shared" si="240"/>
        <v>0</v>
      </c>
      <c r="R582" s="421">
        <f t="shared" si="240"/>
        <v>0</v>
      </c>
      <c r="S582" s="421">
        <f t="shared" si="240"/>
        <v>0</v>
      </c>
      <c r="T582" s="421" t="e">
        <f t="shared" si="237"/>
        <v>#DIV/0!</v>
      </c>
      <c r="U582" s="421" t="e">
        <f t="shared" si="238"/>
        <v>#DIV/0!</v>
      </c>
      <c r="V582" s="78"/>
      <c r="W582" s="78"/>
      <c r="X582" s="78"/>
      <c r="Y582" s="78"/>
      <c r="Z582" s="78"/>
      <c r="AA582" s="78"/>
      <c r="AB582" s="78"/>
    </row>
    <row r="583" spans="1:36" s="212" customFormat="1" ht="15.75">
      <c r="A583" s="65"/>
      <c r="B583" s="65"/>
      <c r="C583" s="65"/>
      <c r="D583" s="65"/>
      <c r="E583" s="65"/>
      <c r="F583" s="65"/>
      <c r="G583" s="65"/>
      <c r="H583" s="65"/>
      <c r="I583" s="65"/>
      <c r="J583" s="65"/>
      <c r="K583" s="165"/>
      <c r="L583" s="178"/>
      <c r="M583" s="458"/>
      <c r="N583" s="458"/>
      <c r="O583" s="458"/>
      <c r="P583" s="458"/>
      <c r="Q583" s="458"/>
      <c r="R583" s="458"/>
      <c r="S583" s="458"/>
      <c r="T583" s="458"/>
      <c r="U583" s="458"/>
      <c r="V583" s="78"/>
      <c r="W583" s="78"/>
      <c r="X583" s="78"/>
      <c r="Y583" s="78"/>
      <c r="Z583" s="78"/>
      <c r="AA583" s="78"/>
      <c r="AB583" s="78"/>
      <c r="AC583" s="78"/>
      <c r="AD583" s="78"/>
      <c r="AE583" s="78"/>
      <c r="AF583" s="78"/>
      <c r="AG583" s="78"/>
      <c r="AH583" s="78"/>
      <c r="AI583" s="78"/>
      <c r="AJ583" s="78"/>
    </row>
    <row r="584" spans="1:36" s="212" customFormat="1" ht="25.5" customHeight="1">
      <c r="A584" s="65"/>
      <c r="B584" s="65"/>
      <c r="C584" s="65"/>
      <c r="D584" s="65"/>
      <c r="E584" s="65"/>
      <c r="F584" s="65"/>
      <c r="G584" s="65"/>
      <c r="H584" s="65"/>
      <c r="I584" s="65"/>
      <c r="J584" s="65"/>
      <c r="K584" s="165"/>
      <c r="L584" s="178"/>
      <c r="M584" s="458"/>
      <c r="N584" s="458"/>
      <c r="O584" s="458"/>
      <c r="P584" s="458"/>
      <c r="Q584" s="458"/>
      <c r="R584" s="458"/>
      <c r="S584" s="458"/>
      <c r="T584" s="458"/>
      <c r="U584" s="458"/>
      <c r="V584" s="78"/>
      <c r="W584" s="78"/>
      <c r="X584" s="78"/>
      <c r="Y584" s="78"/>
      <c r="Z584" s="78"/>
      <c r="AA584" s="78"/>
      <c r="AB584" s="78"/>
      <c r="AC584" s="78"/>
      <c r="AD584" s="78"/>
      <c r="AE584" s="78"/>
      <c r="AF584" s="78"/>
      <c r="AG584" s="78"/>
      <c r="AH584" s="78"/>
      <c r="AI584" s="78"/>
      <c r="AJ584" s="78"/>
    </row>
    <row r="585" spans="1:28" s="75" customFormat="1" ht="15">
      <c r="A585" s="79" t="s">
        <v>227</v>
      </c>
      <c r="B585" s="79"/>
      <c r="C585" s="79"/>
      <c r="D585" s="79"/>
      <c r="E585" s="79"/>
      <c r="F585" s="79"/>
      <c r="G585" s="79"/>
      <c r="H585" s="79"/>
      <c r="I585" s="79"/>
      <c r="J585" s="79"/>
      <c r="K585" s="41" t="s">
        <v>226</v>
      </c>
      <c r="L585" s="614" t="s">
        <v>359</v>
      </c>
      <c r="M585" s="430"/>
      <c r="N585" s="430"/>
      <c r="O585" s="430"/>
      <c r="P585" s="430"/>
      <c r="Q585" s="430"/>
      <c r="R585" s="430"/>
      <c r="S585" s="430"/>
      <c r="T585" s="430"/>
      <c r="U585" s="430"/>
      <c r="V585" s="78"/>
      <c r="W585" s="78"/>
      <c r="X585" s="78"/>
      <c r="Y585" s="78"/>
      <c r="Z585" s="78"/>
      <c r="AA585" s="78"/>
      <c r="AB585" s="78"/>
    </row>
    <row r="586" spans="1:28" s="75" customFormat="1" ht="15">
      <c r="A586" s="79" t="s">
        <v>161</v>
      </c>
      <c r="B586" s="79"/>
      <c r="C586" s="79"/>
      <c r="D586" s="79"/>
      <c r="E586" s="79"/>
      <c r="F586" s="79"/>
      <c r="G586" s="79"/>
      <c r="H586" s="79"/>
      <c r="I586" s="79"/>
      <c r="J586" s="79"/>
      <c r="K586" s="41" t="s">
        <v>358</v>
      </c>
      <c r="L586" s="618"/>
      <c r="M586" s="430"/>
      <c r="N586" s="430"/>
      <c r="O586" s="430"/>
      <c r="P586" s="430"/>
      <c r="Q586" s="430"/>
      <c r="R586" s="430"/>
      <c r="S586" s="430"/>
      <c r="T586" s="430"/>
      <c r="U586" s="430"/>
      <c r="V586" s="78"/>
      <c r="W586" s="78"/>
      <c r="X586" s="78"/>
      <c r="Y586" s="78"/>
      <c r="Z586" s="78"/>
      <c r="AA586" s="78"/>
      <c r="AB586" s="78"/>
    </row>
    <row r="587" spans="1:28" s="75" customFormat="1" ht="26.25" customHeight="1">
      <c r="A587" s="37" t="s">
        <v>161</v>
      </c>
      <c r="B587" s="37">
        <v>1</v>
      </c>
      <c r="C587" s="37"/>
      <c r="D587" s="37">
        <v>3</v>
      </c>
      <c r="E587" s="37"/>
      <c r="F587" s="37"/>
      <c r="G587" s="37"/>
      <c r="H587" s="37"/>
      <c r="I587" s="37"/>
      <c r="J587" s="37">
        <v>911</v>
      </c>
      <c r="K587" s="272">
        <v>3</v>
      </c>
      <c r="L587" s="273" t="s">
        <v>0</v>
      </c>
      <c r="M587" s="422">
        <f aca="true" t="shared" si="241" ref="M587:S587">M588+M591</f>
        <v>20584.77669387484</v>
      </c>
      <c r="N587" s="422">
        <f t="shared" si="241"/>
        <v>22178.379454509257</v>
      </c>
      <c r="O587" s="437">
        <f t="shared" si="241"/>
        <v>167103</v>
      </c>
      <c r="P587" s="437">
        <f t="shared" si="241"/>
        <v>22178.379454509257</v>
      </c>
      <c r="Q587" s="437">
        <f t="shared" si="241"/>
        <v>8161.58</v>
      </c>
      <c r="R587" s="437">
        <f t="shared" si="241"/>
        <v>24730.36</v>
      </c>
      <c r="S587" s="437">
        <f t="shared" si="241"/>
        <v>22225.36</v>
      </c>
      <c r="T587" s="437">
        <f>S587/M587*100</f>
        <v>107.9698863413628</v>
      </c>
      <c r="U587" s="437">
        <f>S587/R587*100</f>
        <v>89.87074996077695</v>
      </c>
      <c r="V587" s="78"/>
      <c r="W587" s="78"/>
      <c r="X587" s="78"/>
      <c r="Y587" s="78"/>
      <c r="Z587" s="78"/>
      <c r="AA587" s="78"/>
      <c r="AB587" s="78"/>
    </row>
    <row r="588" spans="1:28" s="75" customFormat="1" ht="21.75" customHeight="1">
      <c r="A588" s="65" t="s">
        <v>161</v>
      </c>
      <c r="B588" s="37">
        <v>1</v>
      </c>
      <c r="C588" s="37"/>
      <c r="D588" s="37">
        <v>3</v>
      </c>
      <c r="E588" s="37"/>
      <c r="F588" s="37"/>
      <c r="G588" s="37"/>
      <c r="H588" s="37"/>
      <c r="I588" s="37"/>
      <c r="J588" s="37">
        <v>911</v>
      </c>
      <c r="K588" s="274">
        <v>32</v>
      </c>
      <c r="L588" s="278" t="s">
        <v>5</v>
      </c>
      <c r="M588" s="422">
        <f aca="true" t="shared" si="242" ref="M588:S589">M589</f>
        <v>0</v>
      </c>
      <c r="N588" s="422">
        <f t="shared" si="242"/>
        <v>929.0596589023824</v>
      </c>
      <c r="O588" s="437">
        <f t="shared" si="242"/>
        <v>7000</v>
      </c>
      <c r="P588" s="437">
        <f t="shared" si="242"/>
        <v>929.0596589023824</v>
      </c>
      <c r="Q588" s="437">
        <f t="shared" si="242"/>
        <v>14.18</v>
      </c>
      <c r="R588" s="437">
        <f t="shared" si="242"/>
        <v>0</v>
      </c>
      <c r="S588" s="437">
        <f t="shared" si="242"/>
        <v>0</v>
      </c>
      <c r="T588" s="437" t="e">
        <f aca="true" t="shared" si="243" ref="T588:T600">S588/M588*100</f>
        <v>#DIV/0!</v>
      </c>
      <c r="U588" s="437" t="e">
        <f aca="true" t="shared" si="244" ref="U588:U600">S588/R588*100</f>
        <v>#DIV/0!</v>
      </c>
      <c r="V588" s="78"/>
      <c r="W588" s="78"/>
      <c r="X588" s="78"/>
      <c r="Y588" s="78"/>
      <c r="Z588" s="78"/>
      <c r="AA588" s="78"/>
      <c r="AB588" s="78"/>
    </row>
    <row r="589" spans="1:28" s="75" customFormat="1" ht="24.75" customHeight="1">
      <c r="A589" s="37" t="s">
        <v>161</v>
      </c>
      <c r="B589" s="37">
        <v>1</v>
      </c>
      <c r="C589" s="37"/>
      <c r="D589" s="37">
        <v>3</v>
      </c>
      <c r="E589" s="37"/>
      <c r="F589" s="37"/>
      <c r="G589" s="37"/>
      <c r="H589" s="37"/>
      <c r="I589" s="37"/>
      <c r="J589" s="37">
        <v>911</v>
      </c>
      <c r="K589" s="272">
        <v>322</v>
      </c>
      <c r="L589" s="273" t="s">
        <v>26</v>
      </c>
      <c r="M589" s="422">
        <f t="shared" si="242"/>
        <v>0</v>
      </c>
      <c r="N589" s="422">
        <f t="shared" si="242"/>
        <v>929.0596589023824</v>
      </c>
      <c r="O589" s="437">
        <f t="shared" si="242"/>
        <v>7000</v>
      </c>
      <c r="P589" s="437">
        <f t="shared" si="242"/>
        <v>929.0596589023824</v>
      </c>
      <c r="Q589" s="437">
        <f t="shared" si="242"/>
        <v>14.18</v>
      </c>
      <c r="R589" s="437">
        <f t="shared" si="242"/>
        <v>0</v>
      </c>
      <c r="S589" s="437">
        <f t="shared" si="242"/>
        <v>0</v>
      </c>
      <c r="T589" s="437" t="e">
        <f t="shared" si="243"/>
        <v>#DIV/0!</v>
      </c>
      <c r="U589" s="437" t="e">
        <f t="shared" si="244"/>
        <v>#DIV/0!</v>
      </c>
      <c r="V589" s="78"/>
      <c r="W589" s="78"/>
      <c r="X589" s="78"/>
      <c r="Y589" s="78"/>
      <c r="Z589" s="78"/>
      <c r="AA589" s="78"/>
      <c r="AB589" s="78"/>
    </row>
    <row r="590" spans="1:28" s="75" customFormat="1" ht="30.75" customHeight="1">
      <c r="A590" s="65" t="s">
        <v>161</v>
      </c>
      <c r="B590" s="37">
        <v>1</v>
      </c>
      <c r="C590" s="37"/>
      <c r="D590" s="37">
        <v>3</v>
      </c>
      <c r="E590" s="37"/>
      <c r="F590" s="37"/>
      <c r="G590" s="37"/>
      <c r="H590" s="37"/>
      <c r="I590" s="37"/>
      <c r="J590" s="37">
        <v>911</v>
      </c>
      <c r="K590" s="42">
        <v>3221</v>
      </c>
      <c r="L590" s="88" t="s">
        <v>405</v>
      </c>
      <c r="M590" s="422">
        <v>0</v>
      </c>
      <c r="N590" s="422">
        <f>7000/7.5345</f>
        <v>929.0596589023824</v>
      </c>
      <c r="O590" s="422">
        <v>7000</v>
      </c>
      <c r="P590" s="422">
        <f>7000/7.5345</f>
        <v>929.0596589023824</v>
      </c>
      <c r="Q590" s="422">
        <v>14.18</v>
      </c>
      <c r="R590" s="422">
        <v>0</v>
      </c>
      <c r="S590" s="422"/>
      <c r="T590" s="437" t="e">
        <f t="shared" si="243"/>
        <v>#DIV/0!</v>
      </c>
      <c r="U590" s="437" t="e">
        <f t="shared" si="244"/>
        <v>#DIV/0!</v>
      </c>
      <c r="V590" s="78"/>
      <c r="W590" s="78"/>
      <c r="X590" s="78"/>
      <c r="Y590" s="78"/>
      <c r="Z590" s="78"/>
      <c r="AA590" s="78"/>
      <c r="AB590" s="78"/>
    </row>
    <row r="591" spans="1:28" s="75" customFormat="1" ht="36" customHeight="1">
      <c r="A591" s="37" t="s">
        <v>161</v>
      </c>
      <c r="B591" s="37">
        <v>1</v>
      </c>
      <c r="C591" s="37"/>
      <c r="D591" s="37">
        <v>3</v>
      </c>
      <c r="E591" s="37"/>
      <c r="F591" s="37"/>
      <c r="G591" s="37"/>
      <c r="H591" s="37"/>
      <c r="I591" s="37"/>
      <c r="J591" s="37">
        <v>911</v>
      </c>
      <c r="K591" s="272">
        <v>38</v>
      </c>
      <c r="L591" s="273" t="s">
        <v>77</v>
      </c>
      <c r="M591" s="422">
        <f aca="true" t="shared" si="245" ref="M591:S591">M592</f>
        <v>20584.77669387484</v>
      </c>
      <c r="N591" s="422">
        <f t="shared" si="245"/>
        <v>21249.319795606876</v>
      </c>
      <c r="O591" s="437">
        <f t="shared" si="245"/>
        <v>160103</v>
      </c>
      <c r="P591" s="437">
        <f t="shared" si="245"/>
        <v>21249.319795606876</v>
      </c>
      <c r="Q591" s="437">
        <f t="shared" si="245"/>
        <v>8147.4</v>
      </c>
      <c r="R591" s="437">
        <f t="shared" si="245"/>
        <v>24730.36</v>
      </c>
      <c r="S591" s="437">
        <f t="shared" si="245"/>
        <v>22225.36</v>
      </c>
      <c r="T591" s="437">
        <f t="shared" si="243"/>
        <v>107.9698863413628</v>
      </c>
      <c r="U591" s="437">
        <f t="shared" si="244"/>
        <v>89.87074996077695</v>
      </c>
      <c r="V591" s="78"/>
      <c r="W591" s="78"/>
      <c r="X591" s="78"/>
      <c r="Y591" s="78"/>
      <c r="Z591" s="78"/>
      <c r="AA591" s="78"/>
      <c r="AB591" s="78"/>
    </row>
    <row r="592" spans="1:28" s="75" customFormat="1" ht="25.5" customHeight="1">
      <c r="A592" s="65" t="s">
        <v>161</v>
      </c>
      <c r="B592" s="37">
        <v>1</v>
      </c>
      <c r="C592" s="37"/>
      <c r="D592" s="37">
        <v>3</v>
      </c>
      <c r="E592" s="37"/>
      <c r="F592" s="37"/>
      <c r="G592" s="37"/>
      <c r="H592" s="37"/>
      <c r="I592" s="37"/>
      <c r="J592" s="37">
        <v>911</v>
      </c>
      <c r="K592" s="272">
        <v>381</v>
      </c>
      <c r="L592" s="273" t="s">
        <v>249</v>
      </c>
      <c r="M592" s="422">
        <f aca="true" t="shared" si="246" ref="M592:S592">SUM(M593:M596)</f>
        <v>20584.77669387484</v>
      </c>
      <c r="N592" s="422">
        <f t="shared" si="246"/>
        <v>21249.319795606876</v>
      </c>
      <c r="O592" s="437">
        <f t="shared" si="246"/>
        <v>160103</v>
      </c>
      <c r="P592" s="437">
        <f t="shared" si="246"/>
        <v>21249.319795606876</v>
      </c>
      <c r="Q592" s="437">
        <f t="shared" si="246"/>
        <v>8147.4</v>
      </c>
      <c r="R592" s="437">
        <f t="shared" si="246"/>
        <v>24730.36</v>
      </c>
      <c r="S592" s="437">
        <f t="shared" si="246"/>
        <v>22225.36</v>
      </c>
      <c r="T592" s="437">
        <f t="shared" si="243"/>
        <v>107.9698863413628</v>
      </c>
      <c r="U592" s="437">
        <f t="shared" si="244"/>
        <v>89.87074996077695</v>
      </c>
      <c r="V592" s="78"/>
      <c r="W592" s="78"/>
      <c r="X592" s="78"/>
      <c r="Y592" s="78"/>
      <c r="Z592" s="78"/>
      <c r="AA592" s="78"/>
      <c r="AB592" s="78"/>
    </row>
    <row r="593" spans="1:28" s="75" customFormat="1" ht="44.25" customHeight="1">
      <c r="A593" s="37" t="s">
        <v>161</v>
      </c>
      <c r="B593" s="37">
        <v>1</v>
      </c>
      <c r="C593" s="37"/>
      <c r="D593" s="37">
        <v>3</v>
      </c>
      <c r="E593" s="37"/>
      <c r="F593" s="37"/>
      <c r="G593" s="37"/>
      <c r="H593" s="37"/>
      <c r="I593" s="37"/>
      <c r="J593" s="37">
        <v>911</v>
      </c>
      <c r="K593" s="42">
        <v>3811</v>
      </c>
      <c r="L593" s="88" t="s">
        <v>543</v>
      </c>
      <c r="M593" s="422">
        <f>83146/7.5345</f>
        <v>11035.370628442497</v>
      </c>
      <c r="N593" s="422">
        <f>(52453+30700)/7.5345</f>
        <v>11036.299688101399</v>
      </c>
      <c r="O593" s="422">
        <f>52453+30700</f>
        <v>83153</v>
      </c>
      <c r="P593" s="422">
        <f>(52453+30700)/7.5345</f>
        <v>11036.299688101399</v>
      </c>
      <c r="Q593" s="422">
        <v>0</v>
      </c>
      <c r="R593" s="422">
        <f>8147.4+4450</f>
        <v>12597.4</v>
      </c>
      <c r="S593" s="422">
        <v>12597.4</v>
      </c>
      <c r="T593" s="437">
        <f t="shared" si="243"/>
        <v>114.15475224304237</v>
      </c>
      <c r="U593" s="437">
        <f t="shared" si="244"/>
        <v>100</v>
      </c>
      <c r="V593" s="78"/>
      <c r="W593" s="78"/>
      <c r="X593" s="78"/>
      <c r="Y593" s="78"/>
      <c r="Z593" s="78"/>
      <c r="AA593" s="78"/>
      <c r="AB593" s="78"/>
    </row>
    <row r="594" spans="1:28" s="75" customFormat="1" ht="26.25" customHeight="1">
      <c r="A594" s="65" t="s">
        <v>161</v>
      </c>
      <c r="B594" s="37">
        <v>1</v>
      </c>
      <c r="C594" s="37"/>
      <c r="D594" s="37">
        <v>3</v>
      </c>
      <c r="E594" s="37"/>
      <c r="F594" s="37"/>
      <c r="G594" s="37"/>
      <c r="H594" s="37"/>
      <c r="I594" s="37"/>
      <c r="J594" s="37">
        <v>911</v>
      </c>
      <c r="K594" s="42">
        <v>3811</v>
      </c>
      <c r="L594" s="333" t="s">
        <v>595</v>
      </c>
      <c r="M594" s="428">
        <v>0</v>
      </c>
      <c r="N594" s="428">
        <v>0</v>
      </c>
      <c r="O594" s="428">
        <v>0</v>
      </c>
      <c r="P594" s="428">
        <v>0</v>
      </c>
      <c r="Q594" s="428">
        <v>0</v>
      </c>
      <c r="R594" s="428"/>
      <c r="S594" s="428"/>
      <c r="T594" s="437" t="e">
        <f t="shared" si="243"/>
        <v>#DIV/0!</v>
      </c>
      <c r="U594" s="437" t="e">
        <f t="shared" si="244"/>
        <v>#DIV/0!</v>
      </c>
      <c r="V594" s="78"/>
      <c r="W594" s="78"/>
      <c r="X594" s="78"/>
      <c r="Y594" s="78"/>
      <c r="Z594" s="78"/>
      <c r="AA594" s="78"/>
      <c r="AB594" s="78"/>
    </row>
    <row r="595" spans="1:28" s="75" customFormat="1" ht="19.5" customHeight="1">
      <c r="A595" s="37" t="s">
        <v>161</v>
      </c>
      <c r="B595" s="37">
        <v>1</v>
      </c>
      <c r="C595" s="37"/>
      <c r="D595" s="37">
        <v>3</v>
      </c>
      <c r="E595" s="37"/>
      <c r="F595" s="37"/>
      <c r="G595" s="37"/>
      <c r="H595" s="37"/>
      <c r="I595" s="37"/>
      <c r="J595" s="37">
        <v>911</v>
      </c>
      <c r="K595" s="42">
        <v>3811</v>
      </c>
      <c r="L595" s="88" t="s">
        <v>318</v>
      </c>
      <c r="M595" s="428">
        <f>71950/7.5345</f>
        <v>9549.406065432344</v>
      </c>
      <c r="N595" s="428">
        <f>71950/7.5345</f>
        <v>9549.406065432344</v>
      </c>
      <c r="O595" s="428">
        <v>71950</v>
      </c>
      <c r="P595" s="428">
        <f>71950/7.5345</f>
        <v>9549.406065432344</v>
      </c>
      <c r="Q595" s="428">
        <v>8147.4</v>
      </c>
      <c r="R595" s="428">
        <f>9000+2500</f>
        <v>11500</v>
      </c>
      <c r="S595" s="428">
        <v>9000</v>
      </c>
      <c r="T595" s="437">
        <f t="shared" si="243"/>
        <v>94.24669909659487</v>
      </c>
      <c r="U595" s="437">
        <f t="shared" si="244"/>
        <v>78.26086956521739</v>
      </c>
      <c r="V595" s="78"/>
      <c r="W595" s="78"/>
      <c r="X595" s="78"/>
      <c r="Y595" s="78"/>
      <c r="Z595" s="78"/>
      <c r="AA595" s="78"/>
      <c r="AB595" s="78"/>
    </row>
    <row r="596" spans="1:28" s="75" customFormat="1" ht="30.75" customHeight="1">
      <c r="A596" s="65" t="s">
        <v>161</v>
      </c>
      <c r="B596" s="37">
        <v>1</v>
      </c>
      <c r="C596" s="37"/>
      <c r="D596" s="37">
        <v>3</v>
      </c>
      <c r="E596" s="37"/>
      <c r="F596" s="37"/>
      <c r="G596" s="37"/>
      <c r="H596" s="37"/>
      <c r="I596" s="37"/>
      <c r="J596" s="37">
        <v>911</v>
      </c>
      <c r="K596" s="42">
        <v>3811</v>
      </c>
      <c r="L596" s="330" t="s">
        <v>541</v>
      </c>
      <c r="M596" s="428">
        <v>0</v>
      </c>
      <c r="N596" s="428">
        <f>5000/7.5345</f>
        <v>663.6140420731302</v>
      </c>
      <c r="O596" s="428">
        <v>5000</v>
      </c>
      <c r="P596" s="428">
        <f>5000/7.5345</f>
        <v>663.6140420731302</v>
      </c>
      <c r="Q596" s="428">
        <v>0</v>
      </c>
      <c r="R596" s="428">
        <v>632.96</v>
      </c>
      <c r="S596" s="428">
        <v>627.96</v>
      </c>
      <c r="T596" s="437" t="e">
        <f t="shared" si="243"/>
        <v>#DIV/0!</v>
      </c>
      <c r="U596" s="437">
        <f t="shared" si="244"/>
        <v>99.21006066734076</v>
      </c>
      <c r="V596" s="78"/>
      <c r="W596" s="78"/>
      <c r="X596" s="78"/>
      <c r="Y596" s="78"/>
      <c r="Z596" s="78"/>
      <c r="AA596" s="78"/>
      <c r="AB596" s="78"/>
    </row>
    <row r="597" spans="1:28" s="75" customFormat="1" ht="29.25" customHeight="1">
      <c r="A597" s="37" t="s">
        <v>161</v>
      </c>
      <c r="B597" s="37">
        <v>1</v>
      </c>
      <c r="C597" s="37"/>
      <c r="D597" s="37">
        <v>3</v>
      </c>
      <c r="E597" s="37"/>
      <c r="F597" s="37"/>
      <c r="G597" s="37"/>
      <c r="H597" s="37"/>
      <c r="I597" s="37"/>
      <c r="J597" s="37">
        <v>911</v>
      </c>
      <c r="K597" s="274">
        <v>4</v>
      </c>
      <c r="L597" s="273" t="s">
        <v>1</v>
      </c>
      <c r="M597" s="428">
        <f aca="true" t="shared" si="247" ref="M597:S598">M598</f>
        <v>0</v>
      </c>
      <c r="N597" s="428">
        <f t="shared" si="247"/>
        <v>0</v>
      </c>
      <c r="O597" s="465">
        <f t="shared" si="247"/>
        <v>0</v>
      </c>
      <c r="P597" s="465">
        <f t="shared" si="247"/>
        <v>0</v>
      </c>
      <c r="Q597" s="465">
        <f t="shared" si="247"/>
        <v>0</v>
      </c>
      <c r="R597" s="465">
        <f t="shared" si="247"/>
        <v>0</v>
      </c>
      <c r="S597" s="465">
        <f t="shared" si="247"/>
        <v>0</v>
      </c>
      <c r="T597" s="437" t="e">
        <f t="shared" si="243"/>
        <v>#DIV/0!</v>
      </c>
      <c r="U597" s="437" t="e">
        <f t="shared" si="244"/>
        <v>#DIV/0!</v>
      </c>
      <c r="V597" s="78"/>
      <c r="W597" s="78"/>
      <c r="X597" s="78"/>
      <c r="Y597" s="78"/>
      <c r="Z597" s="78"/>
      <c r="AA597" s="78"/>
      <c r="AB597" s="78"/>
    </row>
    <row r="598" spans="1:36" s="128" customFormat="1" ht="25.5" customHeight="1">
      <c r="A598" s="65" t="s">
        <v>161</v>
      </c>
      <c r="B598" s="37">
        <v>1</v>
      </c>
      <c r="C598" s="37"/>
      <c r="D598" s="37">
        <v>3</v>
      </c>
      <c r="E598" s="37"/>
      <c r="F598" s="37"/>
      <c r="G598" s="37"/>
      <c r="H598" s="37"/>
      <c r="I598" s="37"/>
      <c r="J598" s="37">
        <v>911</v>
      </c>
      <c r="K598" s="272">
        <v>42</v>
      </c>
      <c r="L598" s="328" t="s">
        <v>28</v>
      </c>
      <c r="M598" s="428">
        <f t="shared" si="247"/>
        <v>0</v>
      </c>
      <c r="N598" s="428">
        <f t="shared" si="247"/>
        <v>0</v>
      </c>
      <c r="O598" s="465">
        <f t="shared" si="247"/>
        <v>0</v>
      </c>
      <c r="P598" s="465">
        <f t="shared" si="247"/>
        <v>0</v>
      </c>
      <c r="Q598" s="465">
        <f t="shared" si="247"/>
        <v>0</v>
      </c>
      <c r="R598" s="465">
        <f t="shared" si="247"/>
        <v>0</v>
      </c>
      <c r="S598" s="465">
        <f t="shared" si="247"/>
        <v>0</v>
      </c>
      <c r="T598" s="437" t="e">
        <f t="shared" si="243"/>
        <v>#DIV/0!</v>
      </c>
      <c r="U598" s="437" t="e">
        <f t="shared" si="244"/>
        <v>#DIV/0!</v>
      </c>
      <c r="V598" s="78"/>
      <c r="W598" s="78"/>
      <c r="X598" s="78"/>
      <c r="Y598" s="78"/>
      <c r="Z598" s="78"/>
      <c r="AA598" s="78"/>
      <c r="AB598" s="78"/>
      <c r="AC598" s="75"/>
      <c r="AD598" s="75"/>
      <c r="AE598" s="75"/>
      <c r="AF598" s="75"/>
      <c r="AG598" s="75"/>
      <c r="AH598" s="75"/>
      <c r="AI598" s="75"/>
      <c r="AJ598" s="75"/>
    </row>
    <row r="599" spans="1:36" s="46" customFormat="1" ht="28.5" customHeight="1">
      <c r="A599" s="37" t="s">
        <v>161</v>
      </c>
      <c r="B599" s="37">
        <v>1</v>
      </c>
      <c r="C599" s="37"/>
      <c r="D599" s="37">
        <v>3</v>
      </c>
      <c r="E599" s="37"/>
      <c r="F599" s="37"/>
      <c r="G599" s="37"/>
      <c r="H599" s="37"/>
      <c r="I599" s="37"/>
      <c r="J599" s="37">
        <v>911</v>
      </c>
      <c r="K599" s="272">
        <v>422</v>
      </c>
      <c r="L599" s="273" t="s">
        <v>542</v>
      </c>
      <c r="M599" s="424">
        <v>0</v>
      </c>
      <c r="N599" s="424">
        <v>0</v>
      </c>
      <c r="O599" s="474">
        <v>0</v>
      </c>
      <c r="P599" s="474">
        <v>0</v>
      </c>
      <c r="Q599" s="474">
        <v>0</v>
      </c>
      <c r="R599" s="474">
        <v>0</v>
      </c>
      <c r="S599" s="474"/>
      <c r="T599" s="437" t="e">
        <f t="shared" si="243"/>
        <v>#DIV/0!</v>
      </c>
      <c r="U599" s="437" t="e">
        <f t="shared" si="244"/>
        <v>#DIV/0!</v>
      </c>
      <c r="V599" s="78"/>
      <c r="W599" s="78"/>
      <c r="X599" s="78"/>
      <c r="Y599" s="78"/>
      <c r="Z599" s="78"/>
      <c r="AA599" s="78"/>
      <c r="AB599" s="78"/>
      <c r="AC599" s="78"/>
      <c r="AD599" s="78"/>
      <c r="AE599" s="78"/>
      <c r="AF599" s="78"/>
      <c r="AG599" s="78"/>
      <c r="AH599" s="78"/>
      <c r="AI599" s="78"/>
      <c r="AJ599" s="78"/>
    </row>
    <row r="600" spans="1:36" s="212" customFormat="1" ht="15.75">
      <c r="A600" s="135"/>
      <c r="B600" s="125"/>
      <c r="C600" s="125"/>
      <c r="D600" s="125"/>
      <c r="E600" s="125"/>
      <c r="F600" s="125"/>
      <c r="G600" s="125"/>
      <c r="H600" s="125"/>
      <c r="I600" s="125"/>
      <c r="J600" s="125"/>
      <c r="K600" s="126"/>
      <c r="L600" s="127" t="s">
        <v>86</v>
      </c>
      <c r="M600" s="421">
        <f aca="true" t="shared" si="248" ref="M600:S600">M587+M597</f>
        <v>20584.77669387484</v>
      </c>
      <c r="N600" s="421">
        <f t="shared" si="248"/>
        <v>22178.379454509257</v>
      </c>
      <c r="O600" s="421">
        <f t="shared" si="248"/>
        <v>167103</v>
      </c>
      <c r="P600" s="421">
        <f t="shared" si="248"/>
        <v>22178.379454509257</v>
      </c>
      <c r="Q600" s="421">
        <f t="shared" si="248"/>
        <v>8161.58</v>
      </c>
      <c r="R600" s="421">
        <f t="shared" si="248"/>
        <v>24730.36</v>
      </c>
      <c r="S600" s="421">
        <f t="shared" si="248"/>
        <v>22225.36</v>
      </c>
      <c r="T600" s="421">
        <f t="shared" si="243"/>
        <v>107.9698863413628</v>
      </c>
      <c r="U600" s="421">
        <f t="shared" si="244"/>
        <v>89.87074996077695</v>
      </c>
      <c r="V600" s="78"/>
      <c r="W600" s="78"/>
      <c r="X600" s="78"/>
      <c r="Y600" s="78"/>
      <c r="Z600" s="78"/>
      <c r="AA600" s="78"/>
      <c r="AB600" s="78"/>
      <c r="AC600" s="78"/>
      <c r="AD600" s="78"/>
      <c r="AE600" s="78"/>
      <c r="AF600" s="78"/>
      <c r="AG600" s="78"/>
      <c r="AH600" s="78"/>
      <c r="AI600" s="78"/>
      <c r="AJ600" s="78"/>
    </row>
    <row r="601" spans="1:36" s="212" customFormat="1" ht="15.75">
      <c r="A601" s="237"/>
      <c r="B601" s="19"/>
      <c r="C601" s="19"/>
      <c r="D601" s="19"/>
      <c r="E601" s="19"/>
      <c r="F601" s="19"/>
      <c r="G601" s="19"/>
      <c r="H601" s="19"/>
      <c r="I601" s="19"/>
      <c r="J601" s="19"/>
      <c r="K601" s="13"/>
      <c r="L601" s="53"/>
      <c r="M601" s="429"/>
      <c r="N601" s="429"/>
      <c r="O601" s="429"/>
      <c r="P601" s="429"/>
      <c r="Q601" s="429"/>
      <c r="R601" s="429"/>
      <c r="S601" s="429"/>
      <c r="T601" s="429"/>
      <c r="U601" s="429"/>
      <c r="V601" s="78"/>
      <c r="W601" s="78"/>
      <c r="X601" s="78"/>
      <c r="Y601" s="78"/>
      <c r="Z601" s="78"/>
      <c r="AA601" s="78"/>
      <c r="AB601" s="78"/>
      <c r="AC601" s="78"/>
      <c r="AD601" s="78"/>
      <c r="AE601" s="78"/>
      <c r="AF601" s="78"/>
      <c r="AG601" s="78"/>
      <c r="AH601" s="78"/>
      <c r="AI601" s="78"/>
      <c r="AJ601" s="78"/>
    </row>
    <row r="602" spans="1:28" s="75" customFormat="1" ht="15.75">
      <c r="A602" s="79" t="s">
        <v>364</v>
      </c>
      <c r="B602" s="79"/>
      <c r="C602" s="79"/>
      <c r="D602" s="79"/>
      <c r="E602" s="79"/>
      <c r="F602" s="79"/>
      <c r="G602" s="79"/>
      <c r="H602" s="79"/>
      <c r="I602" s="79"/>
      <c r="J602" s="79"/>
      <c r="K602" s="41" t="s">
        <v>228</v>
      </c>
      <c r="L602" s="419" t="s">
        <v>623</v>
      </c>
      <c r="M602" s="430"/>
      <c r="N602" s="430"/>
      <c r="O602" s="430"/>
      <c r="P602" s="430"/>
      <c r="Q602" s="430"/>
      <c r="R602" s="430"/>
      <c r="S602" s="430"/>
      <c r="T602" s="430"/>
      <c r="U602" s="430"/>
      <c r="V602" s="78"/>
      <c r="W602" s="78"/>
      <c r="X602" s="78"/>
      <c r="Y602" s="78"/>
      <c r="Z602" s="78"/>
      <c r="AA602" s="78"/>
      <c r="AB602" s="78"/>
    </row>
    <row r="603" spans="1:28" s="75" customFormat="1" ht="15.75">
      <c r="A603" s="79" t="s">
        <v>567</v>
      </c>
      <c r="B603" s="79"/>
      <c r="C603" s="79"/>
      <c r="D603" s="79"/>
      <c r="E603" s="79"/>
      <c r="F603" s="79"/>
      <c r="G603" s="79"/>
      <c r="H603" s="79"/>
      <c r="I603" s="79"/>
      <c r="J603" s="79">
        <v>922</v>
      </c>
      <c r="K603" s="41" t="s">
        <v>358</v>
      </c>
      <c r="L603" s="217"/>
      <c r="M603" s="430"/>
      <c r="N603" s="430"/>
      <c r="O603" s="430"/>
      <c r="P603" s="430"/>
      <c r="Q603" s="430"/>
      <c r="R603" s="430"/>
      <c r="S603" s="430"/>
      <c r="T603" s="430"/>
      <c r="U603" s="430"/>
      <c r="V603" s="78"/>
      <c r="W603" s="78"/>
      <c r="X603" s="78"/>
      <c r="Y603" s="78"/>
      <c r="Z603" s="78"/>
      <c r="AA603" s="78"/>
      <c r="AB603" s="78"/>
    </row>
    <row r="604" spans="1:28" s="75" customFormat="1" ht="15.75">
      <c r="A604" s="65" t="s">
        <v>567</v>
      </c>
      <c r="B604" s="65">
        <v>1</v>
      </c>
      <c r="C604" s="65"/>
      <c r="D604" s="65">
        <v>3</v>
      </c>
      <c r="E604" s="65"/>
      <c r="F604" s="65"/>
      <c r="G604" s="65"/>
      <c r="H604" s="65"/>
      <c r="I604" s="65"/>
      <c r="J604" s="65">
        <v>922</v>
      </c>
      <c r="K604" s="272">
        <v>3</v>
      </c>
      <c r="L604" s="334" t="s">
        <v>0</v>
      </c>
      <c r="M604" s="422">
        <f aca="true" t="shared" si="249" ref="M604:S604">M605+M608+M613</f>
        <v>74117.854489349</v>
      </c>
      <c r="N604" s="422">
        <f t="shared" si="249"/>
        <v>69679.47</v>
      </c>
      <c r="O604" s="437">
        <f t="shared" si="249"/>
        <v>525000</v>
      </c>
      <c r="P604" s="437">
        <f t="shared" si="249"/>
        <v>69679.47441767868</v>
      </c>
      <c r="Q604" s="437">
        <f t="shared" si="249"/>
        <v>49186.75</v>
      </c>
      <c r="R604" s="437">
        <f t="shared" si="249"/>
        <v>104749.90000000001</v>
      </c>
      <c r="S604" s="437">
        <f t="shared" si="249"/>
        <v>103642</v>
      </c>
      <c r="T604" s="437">
        <f>S604/M604*100</f>
        <v>139.83405309565958</v>
      </c>
      <c r="U604" s="437">
        <f>S604/R604*100</f>
        <v>98.94233789244666</v>
      </c>
      <c r="V604" s="78"/>
      <c r="W604" s="78"/>
      <c r="X604" s="78"/>
      <c r="Y604" s="78"/>
      <c r="Z604" s="78"/>
      <c r="AA604" s="78"/>
      <c r="AB604" s="78"/>
    </row>
    <row r="605" spans="1:28" s="75" customFormat="1" ht="15.75">
      <c r="A605" s="65" t="s">
        <v>567</v>
      </c>
      <c r="B605" s="65">
        <v>1</v>
      </c>
      <c r="C605" s="65"/>
      <c r="D605" s="65">
        <v>3</v>
      </c>
      <c r="E605" s="65"/>
      <c r="F605" s="65"/>
      <c r="G605" s="65"/>
      <c r="H605" s="65"/>
      <c r="I605" s="65"/>
      <c r="J605" s="65">
        <v>922</v>
      </c>
      <c r="K605" s="272">
        <v>32</v>
      </c>
      <c r="L605" s="277" t="s">
        <v>5</v>
      </c>
      <c r="M605" s="422">
        <f aca="true" t="shared" si="250" ref="M605:S606">M606</f>
        <v>3186.807352843586</v>
      </c>
      <c r="N605" s="422">
        <f t="shared" si="250"/>
        <v>3318.07</v>
      </c>
      <c r="O605" s="437">
        <f t="shared" si="250"/>
        <v>25000</v>
      </c>
      <c r="P605" s="437">
        <f t="shared" si="250"/>
        <v>3318.0702103656513</v>
      </c>
      <c r="Q605" s="437">
        <f t="shared" si="250"/>
        <v>0</v>
      </c>
      <c r="R605" s="437">
        <f t="shared" si="250"/>
        <v>3242.33</v>
      </c>
      <c r="S605" s="437">
        <f t="shared" si="250"/>
        <v>3242.33</v>
      </c>
      <c r="T605" s="437">
        <f aca="true" t="shared" si="251" ref="T605:T616">S605/M605*100</f>
        <v>101.74226556578235</v>
      </c>
      <c r="U605" s="437">
        <f aca="true" t="shared" si="252" ref="U605:U616">S605/R605*100</f>
        <v>100</v>
      </c>
      <c r="V605" s="78"/>
      <c r="W605" s="78"/>
      <c r="X605" s="78"/>
      <c r="Y605" s="78"/>
      <c r="Z605" s="78"/>
      <c r="AA605" s="78"/>
      <c r="AB605" s="78"/>
    </row>
    <row r="606" spans="1:28" s="94" customFormat="1" ht="20.25" customHeight="1">
      <c r="A606" s="65" t="s">
        <v>567</v>
      </c>
      <c r="B606" s="65">
        <v>1</v>
      </c>
      <c r="C606" s="65"/>
      <c r="D606" s="65">
        <v>3</v>
      </c>
      <c r="E606" s="65"/>
      <c r="F606" s="65"/>
      <c r="G606" s="65"/>
      <c r="H606" s="65"/>
      <c r="I606" s="65"/>
      <c r="J606" s="65">
        <v>922</v>
      </c>
      <c r="K606" s="272">
        <v>322</v>
      </c>
      <c r="L606" s="277" t="s">
        <v>459</v>
      </c>
      <c r="M606" s="422">
        <f t="shared" si="250"/>
        <v>3186.807352843586</v>
      </c>
      <c r="N606" s="422">
        <f t="shared" si="250"/>
        <v>3318.07</v>
      </c>
      <c r="O606" s="437">
        <f t="shared" si="250"/>
        <v>25000</v>
      </c>
      <c r="P606" s="437">
        <f t="shared" si="250"/>
        <v>3318.0702103656513</v>
      </c>
      <c r="Q606" s="437">
        <f t="shared" si="250"/>
        <v>0</v>
      </c>
      <c r="R606" s="437">
        <f t="shared" si="250"/>
        <v>3242.33</v>
      </c>
      <c r="S606" s="437">
        <f t="shared" si="250"/>
        <v>3242.33</v>
      </c>
      <c r="T606" s="437">
        <f t="shared" si="251"/>
        <v>101.74226556578235</v>
      </c>
      <c r="U606" s="437">
        <f t="shared" si="252"/>
        <v>100</v>
      </c>
      <c r="V606" s="258"/>
      <c r="W606" s="258"/>
      <c r="X606" s="258"/>
      <c r="Y606" s="258"/>
      <c r="Z606" s="258"/>
      <c r="AA606" s="258"/>
      <c r="AB606" s="258"/>
    </row>
    <row r="607" spans="1:28" s="75" customFormat="1" ht="19.5" customHeight="1">
      <c r="A607" s="65" t="s">
        <v>567</v>
      </c>
      <c r="B607" s="65">
        <v>1</v>
      </c>
      <c r="C607" s="65"/>
      <c r="D607" s="65">
        <v>3</v>
      </c>
      <c r="E607" s="65"/>
      <c r="F607" s="65"/>
      <c r="G607" s="65"/>
      <c r="H607" s="65"/>
      <c r="I607" s="65"/>
      <c r="J607" s="65">
        <v>922</v>
      </c>
      <c r="K607" s="42">
        <v>3221</v>
      </c>
      <c r="L607" s="177" t="s">
        <v>406</v>
      </c>
      <c r="M607" s="422">
        <f>24011/7.5345</f>
        <v>3186.807352843586</v>
      </c>
      <c r="N607" s="422">
        <v>3318.07</v>
      </c>
      <c r="O607" s="422">
        <v>25000</v>
      </c>
      <c r="P607" s="422">
        <f>25000/7.5345</f>
        <v>3318.0702103656513</v>
      </c>
      <c r="Q607" s="422">
        <v>0</v>
      </c>
      <c r="R607" s="422">
        <v>3242.33</v>
      </c>
      <c r="S607" s="422">
        <v>3242.33</v>
      </c>
      <c r="T607" s="437">
        <f t="shared" si="251"/>
        <v>101.74226556578235</v>
      </c>
      <c r="U607" s="437">
        <f t="shared" si="252"/>
        <v>100</v>
      </c>
      <c r="V607" s="78"/>
      <c r="W607" s="78"/>
      <c r="X607" s="78"/>
      <c r="Y607" s="78"/>
      <c r="Z607" s="78"/>
      <c r="AA607" s="78"/>
      <c r="AB607" s="78"/>
    </row>
    <row r="608" spans="1:28" s="75" customFormat="1" ht="30">
      <c r="A608" s="65" t="s">
        <v>567</v>
      </c>
      <c r="B608" s="307">
        <v>1</v>
      </c>
      <c r="C608" s="307"/>
      <c r="D608" s="307">
        <v>3</v>
      </c>
      <c r="E608" s="307"/>
      <c r="F608" s="307"/>
      <c r="G608" s="307"/>
      <c r="H608" s="307"/>
      <c r="I608" s="307"/>
      <c r="J608" s="307">
        <v>922</v>
      </c>
      <c r="K608" s="272">
        <v>37</v>
      </c>
      <c r="L608" s="328" t="s">
        <v>31</v>
      </c>
      <c r="M608" s="422">
        <f aca="true" t="shared" si="253" ref="M608:S608">M609</f>
        <v>66239.29585904838</v>
      </c>
      <c r="N608" s="422">
        <f t="shared" si="253"/>
        <v>59725.259999999995</v>
      </c>
      <c r="O608" s="437">
        <f t="shared" si="253"/>
        <v>450000</v>
      </c>
      <c r="P608" s="437">
        <f t="shared" si="253"/>
        <v>59725.26378658172</v>
      </c>
      <c r="Q608" s="437">
        <f t="shared" si="253"/>
        <v>46686.75</v>
      </c>
      <c r="R608" s="437">
        <f t="shared" si="253"/>
        <v>99007.57</v>
      </c>
      <c r="S608" s="437">
        <f t="shared" si="253"/>
        <v>97899.67</v>
      </c>
      <c r="T608" s="437">
        <f t="shared" si="251"/>
        <v>147.79696663491447</v>
      </c>
      <c r="U608" s="437">
        <f t="shared" si="252"/>
        <v>98.88099465525715</v>
      </c>
      <c r="V608" s="78"/>
      <c r="W608" s="78"/>
      <c r="X608" s="78"/>
      <c r="Y608" s="78"/>
      <c r="Z608" s="78"/>
      <c r="AA608" s="78"/>
      <c r="AB608" s="78"/>
    </row>
    <row r="609" spans="1:28" s="75" customFormat="1" ht="26.25" customHeight="1">
      <c r="A609" s="65" t="s">
        <v>567</v>
      </c>
      <c r="B609" s="37">
        <v>1</v>
      </c>
      <c r="C609" s="37"/>
      <c r="D609" s="37">
        <v>3</v>
      </c>
      <c r="E609" s="65"/>
      <c r="F609" s="37"/>
      <c r="G609" s="37"/>
      <c r="H609" s="37"/>
      <c r="I609" s="37"/>
      <c r="J609" s="37">
        <v>922</v>
      </c>
      <c r="K609" s="272">
        <v>372</v>
      </c>
      <c r="L609" s="273" t="s">
        <v>32</v>
      </c>
      <c r="M609" s="422">
        <f aca="true" t="shared" si="254" ref="M609:S609">M610+M611+M612</f>
        <v>66239.29585904838</v>
      </c>
      <c r="N609" s="422">
        <f t="shared" si="254"/>
        <v>59725.259999999995</v>
      </c>
      <c r="O609" s="422">
        <f t="shared" si="254"/>
        <v>450000</v>
      </c>
      <c r="P609" s="422">
        <f t="shared" si="254"/>
        <v>59725.26378658172</v>
      </c>
      <c r="Q609" s="422">
        <f t="shared" si="254"/>
        <v>46686.75</v>
      </c>
      <c r="R609" s="422">
        <f t="shared" si="254"/>
        <v>99007.57</v>
      </c>
      <c r="S609" s="422">
        <f t="shared" si="254"/>
        <v>97899.67</v>
      </c>
      <c r="T609" s="437">
        <f t="shared" si="251"/>
        <v>147.79696663491447</v>
      </c>
      <c r="U609" s="437">
        <f t="shared" si="252"/>
        <v>98.88099465525715</v>
      </c>
      <c r="V609" s="78"/>
      <c r="W609" s="78"/>
      <c r="X609" s="78"/>
      <c r="Y609" s="78"/>
      <c r="Z609" s="78"/>
      <c r="AA609" s="78"/>
      <c r="AB609" s="78"/>
    </row>
    <row r="610" spans="1:28" s="75" customFormat="1" ht="27" customHeight="1">
      <c r="A610" s="65" t="s">
        <v>567</v>
      </c>
      <c r="B610" s="37">
        <v>1</v>
      </c>
      <c r="C610" s="37"/>
      <c r="D610" s="37">
        <v>3</v>
      </c>
      <c r="E610" s="65"/>
      <c r="F610" s="37"/>
      <c r="G610" s="37"/>
      <c r="H610" s="37"/>
      <c r="I610" s="37"/>
      <c r="J610" s="37">
        <v>922</v>
      </c>
      <c r="K610" s="42">
        <v>3721</v>
      </c>
      <c r="L610" s="88" t="s">
        <v>596</v>
      </c>
      <c r="M610" s="422">
        <f>351180/7.5345</f>
        <v>46609.59585904837</v>
      </c>
      <c r="N610" s="422">
        <v>39816.84</v>
      </c>
      <c r="O610" s="422">
        <v>300000</v>
      </c>
      <c r="P610" s="422">
        <f>300000/7.5345</f>
        <v>39816.842524387816</v>
      </c>
      <c r="Q610" s="422">
        <v>46686.75</v>
      </c>
      <c r="R610" s="422">
        <v>87707.57</v>
      </c>
      <c r="S610" s="422">
        <v>86599.67</v>
      </c>
      <c r="T610" s="437">
        <f t="shared" si="251"/>
        <v>185.797942256108</v>
      </c>
      <c r="U610" s="437">
        <f t="shared" si="252"/>
        <v>98.73682511099098</v>
      </c>
      <c r="V610" s="78"/>
      <c r="W610" s="78"/>
      <c r="X610" s="78"/>
      <c r="Y610" s="78"/>
      <c r="Z610" s="78"/>
      <c r="AA610" s="78"/>
      <c r="AB610" s="78"/>
    </row>
    <row r="611" spans="1:36" s="128" customFormat="1" ht="25.5" customHeight="1">
      <c r="A611" s="65" t="s">
        <v>567</v>
      </c>
      <c r="B611" s="37">
        <v>1</v>
      </c>
      <c r="C611" s="37"/>
      <c r="D611" s="37">
        <v>3</v>
      </c>
      <c r="E611" s="65"/>
      <c r="F611" s="37"/>
      <c r="G611" s="37"/>
      <c r="H611" s="37"/>
      <c r="I611" s="37"/>
      <c r="J611" s="37">
        <v>922</v>
      </c>
      <c r="K611" s="42">
        <v>3721</v>
      </c>
      <c r="L611" s="88" t="s">
        <v>624</v>
      </c>
      <c r="M611" s="428">
        <v>6679.7</v>
      </c>
      <c r="N611" s="422">
        <v>6636.14</v>
      </c>
      <c r="O611" s="428">
        <v>50000</v>
      </c>
      <c r="P611" s="428">
        <f>O611/7.5345</f>
        <v>6636.140420731303</v>
      </c>
      <c r="Q611" s="428">
        <v>0</v>
      </c>
      <c r="R611" s="428">
        <v>8700</v>
      </c>
      <c r="S611" s="428">
        <v>8700</v>
      </c>
      <c r="T611" s="437">
        <f t="shared" si="251"/>
        <v>130.24537030106143</v>
      </c>
      <c r="U611" s="437">
        <f t="shared" si="252"/>
        <v>100</v>
      </c>
      <c r="V611" s="78"/>
      <c r="W611" s="78"/>
      <c r="X611" s="78"/>
      <c r="Y611" s="78"/>
      <c r="Z611" s="78"/>
      <c r="AA611" s="78"/>
      <c r="AB611" s="78"/>
      <c r="AC611" s="75"/>
      <c r="AD611" s="75"/>
      <c r="AE611" s="75"/>
      <c r="AF611" s="75"/>
      <c r="AG611" s="75"/>
      <c r="AH611" s="75"/>
      <c r="AI611" s="75"/>
      <c r="AJ611" s="75"/>
    </row>
    <row r="612" spans="1:28" s="75" customFormat="1" ht="23.25" customHeight="1">
      <c r="A612" s="65" t="s">
        <v>567</v>
      </c>
      <c r="B612" s="37">
        <v>1</v>
      </c>
      <c r="C612" s="37"/>
      <c r="D612" s="37">
        <v>3</v>
      </c>
      <c r="E612" s="65"/>
      <c r="F612" s="37"/>
      <c r="G612" s="37"/>
      <c r="H612" s="37"/>
      <c r="I612" s="37"/>
      <c r="J612" s="37">
        <v>922</v>
      </c>
      <c r="K612" s="42">
        <v>3721</v>
      </c>
      <c r="L612" s="88" t="s">
        <v>625</v>
      </c>
      <c r="M612" s="428">
        <v>12950</v>
      </c>
      <c r="N612" s="422">
        <v>13272.28</v>
      </c>
      <c r="O612" s="428">
        <v>100000</v>
      </c>
      <c r="P612" s="428">
        <f>O612/7.5345</f>
        <v>13272.280841462605</v>
      </c>
      <c r="Q612" s="428">
        <v>0</v>
      </c>
      <c r="R612" s="428">
        <v>2600</v>
      </c>
      <c r="S612" s="428">
        <v>2600</v>
      </c>
      <c r="T612" s="437">
        <f t="shared" si="251"/>
        <v>20.077220077220076</v>
      </c>
      <c r="U612" s="437">
        <f t="shared" si="252"/>
        <v>100</v>
      </c>
      <c r="V612" s="78"/>
      <c r="W612" s="78"/>
      <c r="X612" s="78"/>
      <c r="Y612" s="78"/>
      <c r="Z612" s="78"/>
      <c r="AA612" s="78"/>
      <c r="AB612" s="78"/>
    </row>
    <row r="613" spans="1:36" s="128" customFormat="1" ht="21.75" customHeight="1">
      <c r="A613" s="65" t="s">
        <v>567</v>
      </c>
      <c r="B613" s="37">
        <v>1</v>
      </c>
      <c r="C613" s="37"/>
      <c r="D613" s="37">
        <v>3</v>
      </c>
      <c r="E613" s="65"/>
      <c r="F613" s="37"/>
      <c r="G613" s="37"/>
      <c r="H613" s="37"/>
      <c r="I613" s="37"/>
      <c r="J613" s="37">
        <v>922</v>
      </c>
      <c r="K613" s="316">
        <v>38</v>
      </c>
      <c r="L613" s="310" t="s">
        <v>77</v>
      </c>
      <c r="M613" s="428">
        <f aca="true" t="shared" si="255" ref="M613:S614">M614</f>
        <v>4691.7512774570305</v>
      </c>
      <c r="N613" s="428">
        <f t="shared" si="255"/>
        <v>6636.14</v>
      </c>
      <c r="O613" s="465">
        <f t="shared" si="255"/>
        <v>50000</v>
      </c>
      <c r="P613" s="465">
        <f t="shared" si="255"/>
        <v>6636.140420731303</v>
      </c>
      <c r="Q613" s="465">
        <f t="shared" si="255"/>
        <v>2500</v>
      </c>
      <c r="R613" s="465">
        <f t="shared" si="255"/>
        <v>2500</v>
      </c>
      <c r="S613" s="465">
        <f t="shared" si="255"/>
        <v>2500</v>
      </c>
      <c r="T613" s="437">
        <f t="shared" si="251"/>
        <v>53.28500707213579</v>
      </c>
      <c r="U613" s="437">
        <f t="shared" si="252"/>
        <v>100</v>
      </c>
      <c r="V613" s="78"/>
      <c r="W613" s="78"/>
      <c r="X613" s="78"/>
      <c r="Y613" s="78"/>
      <c r="Z613" s="78"/>
      <c r="AA613" s="78"/>
      <c r="AB613" s="78"/>
      <c r="AC613" s="75"/>
      <c r="AD613" s="75"/>
      <c r="AE613" s="75"/>
      <c r="AF613" s="75"/>
      <c r="AG613" s="75"/>
      <c r="AH613" s="75"/>
      <c r="AI613" s="75"/>
      <c r="AJ613" s="75"/>
    </row>
    <row r="614" spans="1:36" s="128" customFormat="1" ht="25.5" customHeight="1">
      <c r="A614" s="65" t="s">
        <v>567</v>
      </c>
      <c r="B614" s="37">
        <v>1</v>
      </c>
      <c r="C614" s="37"/>
      <c r="D614" s="37">
        <v>3</v>
      </c>
      <c r="E614" s="65"/>
      <c r="F614" s="37"/>
      <c r="G614" s="37"/>
      <c r="H614" s="37"/>
      <c r="I614" s="37"/>
      <c r="J614" s="37">
        <v>922</v>
      </c>
      <c r="K614" s="316">
        <v>381</v>
      </c>
      <c r="L614" s="310" t="s">
        <v>249</v>
      </c>
      <c r="M614" s="428">
        <f t="shared" si="255"/>
        <v>4691.7512774570305</v>
      </c>
      <c r="N614" s="428">
        <f t="shared" si="255"/>
        <v>6636.14</v>
      </c>
      <c r="O614" s="465">
        <f t="shared" si="255"/>
        <v>50000</v>
      </c>
      <c r="P614" s="465">
        <f t="shared" si="255"/>
        <v>6636.140420731303</v>
      </c>
      <c r="Q614" s="465">
        <f t="shared" si="255"/>
        <v>2500</v>
      </c>
      <c r="R614" s="465">
        <f t="shared" si="255"/>
        <v>2500</v>
      </c>
      <c r="S614" s="465">
        <f t="shared" si="255"/>
        <v>2500</v>
      </c>
      <c r="T614" s="437">
        <f t="shared" si="251"/>
        <v>53.28500707213579</v>
      </c>
      <c r="U614" s="437">
        <f t="shared" si="252"/>
        <v>100</v>
      </c>
      <c r="V614" s="78"/>
      <c r="W614" s="78"/>
      <c r="X614" s="78"/>
      <c r="Y614" s="78"/>
      <c r="Z614" s="78"/>
      <c r="AA614" s="78"/>
      <c r="AB614" s="78"/>
      <c r="AC614" s="75"/>
      <c r="AD614" s="75"/>
      <c r="AE614" s="75"/>
      <c r="AF614" s="75"/>
      <c r="AG614" s="75"/>
      <c r="AH614" s="75"/>
      <c r="AI614" s="75"/>
      <c r="AJ614" s="75"/>
    </row>
    <row r="615" spans="1:36" s="128" customFormat="1" ht="23.25" customHeight="1">
      <c r="A615" s="65" t="s">
        <v>567</v>
      </c>
      <c r="B615" s="37">
        <v>1</v>
      </c>
      <c r="C615" s="37"/>
      <c r="D615" s="37">
        <v>3</v>
      </c>
      <c r="E615" s="65"/>
      <c r="F615" s="37"/>
      <c r="G615" s="37"/>
      <c r="H615" s="37"/>
      <c r="I615" s="37"/>
      <c r="J615" s="37">
        <v>922</v>
      </c>
      <c r="K615" s="309">
        <v>3811</v>
      </c>
      <c r="L615" s="311" t="s">
        <v>615</v>
      </c>
      <c r="M615" s="424">
        <f>35350/7.5345</f>
        <v>4691.7512774570305</v>
      </c>
      <c r="N615" s="424">
        <v>6636.14</v>
      </c>
      <c r="O615" s="424">
        <v>50000</v>
      </c>
      <c r="P615" s="424">
        <f>50000/7.5345</f>
        <v>6636.140420731303</v>
      </c>
      <c r="Q615" s="424">
        <v>2500</v>
      </c>
      <c r="R615" s="424">
        <v>2500</v>
      </c>
      <c r="S615" s="424">
        <v>2500</v>
      </c>
      <c r="T615" s="437">
        <f t="shared" si="251"/>
        <v>53.28500707213579</v>
      </c>
      <c r="U615" s="437">
        <f t="shared" si="252"/>
        <v>100</v>
      </c>
      <c r="V615" s="78"/>
      <c r="W615" s="78"/>
      <c r="X615" s="78"/>
      <c r="Y615" s="78"/>
      <c r="Z615" s="78"/>
      <c r="AA615" s="78"/>
      <c r="AB615" s="78"/>
      <c r="AC615" s="75"/>
      <c r="AD615" s="75"/>
      <c r="AE615" s="75"/>
      <c r="AF615" s="75"/>
      <c r="AG615" s="75"/>
      <c r="AH615" s="75"/>
      <c r="AI615" s="75"/>
      <c r="AJ615" s="75"/>
    </row>
    <row r="616" spans="1:36" s="212" customFormat="1" ht="15.75">
      <c r="A616" s="135"/>
      <c r="B616" s="125"/>
      <c r="C616" s="125"/>
      <c r="D616" s="125"/>
      <c r="E616" s="125"/>
      <c r="F616" s="125"/>
      <c r="G616" s="125"/>
      <c r="H616" s="125"/>
      <c r="I616" s="125"/>
      <c r="J616" s="125"/>
      <c r="K616" s="126"/>
      <c r="L616" s="127" t="s">
        <v>86</v>
      </c>
      <c r="M616" s="421">
        <f aca="true" t="shared" si="256" ref="M616:S616">M604</f>
        <v>74117.854489349</v>
      </c>
      <c r="N616" s="421">
        <f t="shared" si="256"/>
        <v>69679.47</v>
      </c>
      <c r="O616" s="421">
        <f t="shared" si="256"/>
        <v>525000</v>
      </c>
      <c r="P616" s="421">
        <f t="shared" si="256"/>
        <v>69679.47441767868</v>
      </c>
      <c r="Q616" s="421">
        <f t="shared" si="256"/>
        <v>49186.75</v>
      </c>
      <c r="R616" s="421">
        <f t="shared" si="256"/>
        <v>104749.90000000001</v>
      </c>
      <c r="S616" s="421">
        <f t="shared" si="256"/>
        <v>103642</v>
      </c>
      <c r="T616" s="421">
        <f t="shared" si="251"/>
        <v>139.83405309565958</v>
      </c>
      <c r="U616" s="421">
        <f t="shared" si="252"/>
        <v>98.94233789244666</v>
      </c>
      <c r="V616" s="78"/>
      <c r="W616" s="78"/>
      <c r="X616" s="78"/>
      <c r="Y616" s="78"/>
      <c r="Z616" s="78"/>
      <c r="AA616" s="78"/>
      <c r="AB616" s="78"/>
      <c r="AC616" s="78"/>
      <c r="AD616" s="78"/>
      <c r="AE616" s="78"/>
      <c r="AF616" s="78"/>
      <c r="AG616" s="78"/>
      <c r="AH616" s="78"/>
      <c r="AI616" s="78"/>
      <c r="AJ616" s="78"/>
    </row>
    <row r="617" spans="1:36" s="212" customFormat="1" ht="15.75">
      <c r="A617" s="237"/>
      <c r="B617" s="19"/>
      <c r="C617" s="19"/>
      <c r="D617" s="19"/>
      <c r="E617" s="19"/>
      <c r="F617" s="19"/>
      <c r="G617" s="19"/>
      <c r="H617" s="19"/>
      <c r="I617" s="19"/>
      <c r="J617" s="19"/>
      <c r="K617" s="13"/>
      <c r="L617" s="53"/>
      <c r="M617" s="429"/>
      <c r="N617" s="429"/>
      <c r="O617" s="429"/>
      <c r="P617" s="429"/>
      <c r="Q617" s="429"/>
      <c r="R617" s="429"/>
      <c r="S617" s="429"/>
      <c r="T617" s="429"/>
      <c r="U617" s="429"/>
      <c r="V617" s="78"/>
      <c r="W617" s="78"/>
      <c r="X617" s="78"/>
      <c r="Y617" s="78"/>
      <c r="Z617" s="78"/>
      <c r="AA617" s="78"/>
      <c r="AB617" s="78"/>
      <c r="AC617" s="78"/>
      <c r="AD617" s="78"/>
      <c r="AE617" s="78"/>
      <c r="AF617" s="78"/>
      <c r="AG617" s="78"/>
      <c r="AH617" s="78"/>
      <c r="AI617" s="78"/>
      <c r="AJ617" s="78"/>
    </row>
    <row r="618" spans="1:36" s="212" customFormat="1" ht="15.75">
      <c r="A618" s="41" t="s">
        <v>232</v>
      </c>
      <c r="B618" s="41"/>
      <c r="C618" s="41"/>
      <c r="D618" s="41"/>
      <c r="E618" s="41"/>
      <c r="F618" s="41"/>
      <c r="G618" s="41"/>
      <c r="H618" s="41"/>
      <c r="I618" s="41"/>
      <c r="J618" s="41"/>
      <c r="K618" s="41" t="s">
        <v>229</v>
      </c>
      <c r="L618" s="329" t="s">
        <v>231</v>
      </c>
      <c r="M618" s="430"/>
      <c r="N618" s="430"/>
      <c r="O618" s="430"/>
      <c r="P618" s="430"/>
      <c r="Q618" s="430"/>
      <c r="R618" s="430"/>
      <c r="S618" s="430"/>
      <c r="T618" s="430"/>
      <c r="U618" s="430"/>
      <c r="V618" s="78"/>
      <c r="W618" s="78"/>
      <c r="X618" s="78"/>
      <c r="Y618" s="78"/>
      <c r="Z618" s="78"/>
      <c r="AA618" s="78"/>
      <c r="AB618" s="78"/>
      <c r="AC618" s="78"/>
      <c r="AD618" s="78"/>
      <c r="AE618" s="78"/>
      <c r="AF618" s="78"/>
      <c r="AG618" s="78"/>
      <c r="AH618" s="78"/>
      <c r="AI618" s="78"/>
      <c r="AJ618" s="78"/>
    </row>
    <row r="619" spans="1:28" s="75" customFormat="1" ht="15">
      <c r="A619" s="79"/>
      <c r="B619" s="79"/>
      <c r="C619" s="79"/>
      <c r="D619" s="79"/>
      <c r="E619" s="79"/>
      <c r="F619" s="79"/>
      <c r="G619" s="79"/>
      <c r="H619" s="79"/>
      <c r="I619" s="79"/>
      <c r="J619" s="79"/>
      <c r="K619" s="79" t="s">
        <v>594</v>
      </c>
      <c r="L619" s="218"/>
      <c r="M619" s="430"/>
      <c r="N619" s="430"/>
      <c r="O619" s="430"/>
      <c r="P619" s="430"/>
      <c r="Q619" s="430"/>
      <c r="R619" s="430"/>
      <c r="S619" s="430"/>
      <c r="T619" s="430"/>
      <c r="U619" s="430"/>
      <c r="V619" s="78"/>
      <c r="W619" s="78"/>
      <c r="X619" s="78"/>
      <c r="Y619" s="78"/>
      <c r="Z619" s="78"/>
      <c r="AA619" s="78"/>
      <c r="AB619" s="78"/>
    </row>
    <row r="620" spans="1:28" s="75" customFormat="1" ht="17.25" customHeight="1">
      <c r="A620" s="79" t="s">
        <v>568</v>
      </c>
      <c r="B620" s="79"/>
      <c r="C620" s="79"/>
      <c r="D620" s="79"/>
      <c r="E620" s="79"/>
      <c r="F620" s="79"/>
      <c r="G620" s="79"/>
      <c r="H620" s="79"/>
      <c r="I620" s="79"/>
      <c r="J620" s="79">
        <v>1040</v>
      </c>
      <c r="K620" s="41" t="s">
        <v>360</v>
      </c>
      <c r="L620" s="218" t="s">
        <v>628</v>
      </c>
      <c r="M620" s="430"/>
      <c r="N620" s="430"/>
      <c r="O620" s="430"/>
      <c r="P620" s="430"/>
      <c r="Q620" s="430"/>
      <c r="R620" s="430"/>
      <c r="S620" s="430"/>
      <c r="T620" s="430"/>
      <c r="U620" s="430"/>
      <c r="V620" s="78"/>
      <c r="W620" s="78"/>
      <c r="X620" s="78"/>
      <c r="Y620" s="78"/>
      <c r="Z620" s="78"/>
      <c r="AA620" s="78"/>
      <c r="AB620" s="78"/>
    </row>
    <row r="621" spans="1:28" s="75" customFormat="1" ht="24" customHeight="1">
      <c r="A621" s="37" t="s">
        <v>568</v>
      </c>
      <c r="B621" s="37">
        <v>1</v>
      </c>
      <c r="C621" s="37"/>
      <c r="D621" s="37">
        <v>3</v>
      </c>
      <c r="E621" s="37"/>
      <c r="F621" s="37"/>
      <c r="G621" s="37"/>
      <c r="H621" s="37"/>
      <c r="I621" s="37"/>
      <c r="J621" s="37">
        <v>1040</v>
      </c>
      <c r="K621" s="272">
        <v>3</v>
      </c>
      <c r="L621" s="273" t="s">
        <v>0</v>
      </c>
      <c r="M621" s="422">
        <f aca="true" t="shared" si="257" ref="M621:S622">M622</f>
        <v>15926.737009755125</v>
      </c>
      <c r="N621" s="422">
        <f t="shared" si="257"/>
        <v>19908.421262193908</v>
      </c>
      <c r="O621" s="437">
        <f t="shared" si="257"/>
        <v>150000</v>
      </c>
      <c r="P621" s="437">
        <f t="shared" si="257"/>
        <v>19908.421262193908</v>
      </c>
      <c r="Q621" s="437">
        <f t="shared" si="257"/>
        <v>9290.539999999999</v>
      </c>
      <c r="R621" s="437">
        <f t="shared" si="257"/>
        <v>23246.350000000002</v>
      </c>
      <c r="S621" s="437">
        <f t="shared" si="257"/>
        <v>22562.74</v>
      </c>
      <c r="T621" s="437">
        <f aca="true" t="shared" si="258" ref="T621:T626">S621/M621*100</f>
        <v>141.66580377500003</v>
      </c>
      <c r="U621" s="437">
        <f aca="true" t="shared" si="259" ref="U621:U626">S621/R621*100</f>
        <v>97.05928027410755</v>
      </c>
      <c r="V621" s="78"/>
      <c r="W621" s="78"/>
      <c r="X621" s="78"/>
      <c r="Y621" s="78"/>
      <c r="Z621" s="78"/>
      <c r="AA621" s="78"/>
      <c r="AB621" s="78"/>
    </row>
    <row r="622" spans="1:28" s="75" customFormat="1" ht="28.5" customHeight="1">
      <c r="A622" s="37" t="s">
        <v>568</v>
      </c>
      <c r="B622" s="37">
        <v>1</v>
      </c>
      <c r="C622" s="37"/>
      <c r="D622" s="37">
        <v>3</v>
      </c>
      <c r="E622" s="37"/>
      <c r="F622" s="37"/>
      <c r="G622" s="37"/>
      <c r="H622" s="37"/>
      <c r="I622" s="37"/>
      <c r="J622" s="37">
        <v>1040</v>
      </c>
      <c r="K622" s="274">
        <v>37</v>
      </c>
      <c r="L622" s="341" t="s">
        <v>33</v>
      </c>
      <c r="M622" s="422">
        <f t="shared" si="257"/>
        <v>15926.737009755125</v>
      </c>
      <c r="N622" s="422">
        <f t="shared" si="257"/>
        <v>19908.421262193908</v>
      </c>
      <c r="O622" s="437">
        <f t="shared" si="257"/>
        <v>150000</v>
      </c>
      <c r="P622" s="437">
        <f t="shared" si="257"/>
        <v>19908.421262193908</v>
      </c>
      <c r="Q622" s="437">
        <f t="shared" si="257"/>
        <v>9290.539999999999</v>
      </c>
      <c r="R622" s="437">
        <f t="shared" si="257"/>
        <v>23246.350000000002</v>
      </c>
      <c r="S622" s="437">
        <f t="shared" si="257"/>
        <v>22562.74</v>
      </c>
      <c r="T622" s="437">
        <f t="shared" si="258"/>
        <v>141.66580377500003</v>
      </c>
      <c r="U622" s="437">
        <f t="shared" si="259"/>
        <v>97.05928027410755</v>
      </c>
      <c r="V622" s="78"/>
      <c r="W622" s="78"/>
      <c r="X622" s="78"/>
      <c r="Y622" s="78"/>
      <c r="Z622" s="78"/>
      <c r="AA622" s="78"/>
      <c r="AB622" s="78"/>
    </row>
    <row r="623" spans="1:36" s="128" customFormat="1" ht="24.75" customHeight="1">
      <c r="A623" s="37" t="s">
        <v>568</v>
      </c>
      <c r="B623" s="37">
        <v>1</v>
      </c>
      <c r="C623" s="37"/>
      <c r="D623" s="37">
        <v>3</v>
      </c>
      <c r="E623" s="37"/>
      <c r="F623" s="37"/>
      <c r="G623" s="37"/>
      <c r="H623" s="37"/>
      <c r="I623" s="37"/>
      <c r="J623" s="37">
        <v>1040</v>
      </c>
      <c r="K623" s="272">
        <v>372</v>
      </c>
      <c r="L623" s="273" t="s">
        <v>32</v>
      </c>
      <c r="M623" s="422">
        <f aca="true" t="shared" si="260" ref="M623:S623">M625+M624</f>
        <v>15926.737009755125</v>
      </c>
      <c r="N623" s="422">
        <f t="shared" si="260"/>
        <v>19908.421262193908</v>
      </c>
      <c r="O623" s="437">
        <f t="shared" si="260"/>
        <v>150000</v>
      </c>
      <c r="P623" s="437">
        <f t="shared" si="260"/>
        <v>19908.421262193908</v>
      </c>
      <c r="Q623" s="437">
        <f t="shared" si="260"/>
        <v>9290.539999999999</v>
      </c>
      <c r="R623" s="437">
        <f t="shared" si="260"/>
        <v>23246.350000000002</v>
      </c>
      <c r="S623" s="437">
        <f t="shared" si="260"/>
        <v>22562.74</v>
      </c>
      <c r="T623" s="437">
        <f t="shared" si="258"/>
        <v>141.66580377500003</v>
      </c>
      <c r="U623" s="437">
        <f t="shared" si="259"/>
        <v>97.05928027410755</v>
      </c>
      <c r="V623" s="78"/>
      <c r="W623" s="78"/>
      <c r="X623" s="78"/>
      <c r="Y623" s="78"/>
      <c r="Z623" s="78"/>
      <c r="AA623" s="78"/>
      <c r="AB623" s="78"/>
      <c r="AC623" s="75"/>
      <c r="AD623" s="75"/>
      <c r="AE623" s="75"/>
      <c r="AF623" s="75"/>
      <c r="AG623" s="75"/>
      <c r="AH623" s="75"/>
      <c r="AI623" s="75"/>
      <c r="AJ623" s="75"/>
    </row>
    <row r="624" spans="1:36" s="128" customFormat="1" ht="28.5" customHeight="1">
      <c r="A624" s="37" t="s">
        <v>568</v>
      </c>
      <c r="B624" s="37">
        <v>1</v>
      </c>
      <c r="C624" s="37"/>
      <c r="D624" s="37">
        <v>3</v>
      </c>
      <c r="E624" s="37"/>
      <c r="F624" s="37"/>
      <c r="G624" s="37"/>
      <c r="H624" s="37"/>
      <c r="I624" s="37"/>
      <c r="J624" s="37">
        <v>1040</v>
      </c>
      <c r="K624" s="317">
        <v>3721</v>
      </c>
      <c r="L624" s="318" t="s">
        <v>593</v>
      </c>
      <c r="M624" s="422">
        <f>35000/7.5345</f>
        <v>4645.298294511912</v>
      </c>
      <c r="N624" s="422">
        <f>50000/7.5345</f>
        <v>6636.140420731303</v>
      </c>
      <c r="O624" s="422">
        <v>50000</v>
      </c>
      <c r="P624" s="422">
        <f>50000/7.5345</f>
        <v>6636.140420731303</v>
      </c>
      <c r="Q624" s="422">
        <v>1327.22</v>
      </c>
      <c r="R624" s="422">
        <v>5328.88</v>
      </c>
      <c r="S624" s="422">
        <v>5308.88</v>
      </c>
      <c r="T624" s="437">
        <f t="shared" si="258"/>
        <v>114.28501817142858</v>
      </c>
      <c r="U624" s="437">
        <f t="shared" si="259"/>
        <v>99.62468661332213</v>
      </c>
      <c r="V624" s="78"/>
      <c r="W624" s="78"/>
      <c r="X624" s="78"/>
      <c r="Y624" s="78"/>
      <c r="Z624" s="78"/>
      <c r="AA624" s="78"/>
      <c r="AB624" s="78"/>
      <c r="AC624" s="75"/>
      <c r="AD624" s="75"/>
      <c r="AE624" s="75"/>
      <c r="AF624" s="75"/>
      <c r="AG624" s="75"/>
      <c r="AH624" s="75"/>
      <c r="AI624" s="75"/>
      <c r="AJ624" s="75"/>
    </row>
    <row r="625" spans="1:36" s="46" customFormat="1" ht="26.25" customHeight="1">
      <c r="A625" s="37" t="s">
        <v>568</v>
      </c>
      <c r="B625" s="37">
        <v>1</v>
      </c>
      <c r="C625" s="37"/>
      <c r="D625" s="37">
        <v>3</v>
      </c>
      <c r="E625" s="37"/>
      <c r="F625" s="37"/>
      <c r="G625" s="37"/>
      <c r="H625" s="37"/>
      <c r="I625" s="37"/>
      <c r="J625" s="37">
        <v>1040</v>
      </c>
      <c r="K625" s="42">
        <v>3721</v>
      </c>
      <c r="L625" s="345" t="s">
        <v>32</v>
      </c>
      <c r="M625" s="423">
        <f>85000/7.5345</f>
        <v>11281.438715243214</v>
      </c>
      <c r="N625" s="423">
        <f>100000/7.5345</f>
        <v>13272.280841462605</v>
      </c>
      <c r="O625" s="423">
        <v>100000</v>
      </c>
      <c r="P625" s="423">
        <f>100000/7.5345</f>
        <v>13272.280841462605</v>
      </c>
      <c r="Q625" s="423">
        <v>7963.32</v>
      </c>
      <c r="R625" s="423">
        <f>17253.86+663.61</f>
        <v>17917.47</v>
      </c>
      <c r="S625" s="423">
        <v>17253.86</v>
      </c>
      <c r="T625" s="437">
        <f t="shared" si="258"/>
        <v>152.94024490588237</v>
      </c>
      <c r="U625" s="437">
        <f t="shared" si="259"/>
        <v>96.29629629629629</v>
      </c>
      <c r="V625" s="78"/>
      <c r="W625" s="78"/>
      <c r="X625" s="78"/>
      <c r="Y625" s="78"/>
      <c r="Z625" s="78"/>
      <c r="AA625" s="78"/>
      <c r="AB625" s="78"/>
      <c r="AC625" s="78"/>
      <c r="AD625" s="78"/>
      <c r="AE625" s="78"/>
      <c r="AF625" s="78"/>
      <c r="AG625" s="78"/>
      <c r="AH625" s="78"/>
      <c r="AI625" s="78"/>
      <c r="AJ625" s="78"/>
    </row>
    <row r="626" spans="1:36" s="212" customFormat="1" ht="18.75" customHeight="1">
      <c r="A626" s="135"/>
      <c r="B626" s="125"/>
      <c r="C626" s="125"/>
      <c r="D626" s="125"/>
      <c r="E626" s="125"/>
      <c r="F626" s="125"/>
      <c r="G626" s="125"/>
      <c r="H626" s="125"/>
      <c r="I626" s="125"/>
      <c r="J626" s="125"/>
      <c r="K626" s="126"/>
      <c r="L626" s="127" t="s">
        <v>86</v>
      </c>
      <c r="M626" s="421">
        <f aca="true" t="shared" si="261" ref="M626:S626">M621</f>
        <v>15926.737009755125</v>
      </c>
      <c r="N626" s="421">
        <f t="shared" si="261"/>
        <v>19908.421262193908</v>
      </c>
      <c r="O626" s="421">
        <f t="shared" si="261"/>
        <v>150000</v>
      </c>
      <c r="P626" s="421">
        <f t="shared" si="261"/>
        <v>19908.421262193908</v>
      </c>
      <c r="Q626" s="421">
        <f t="shared" si="261"/>
        <v>9290.539999999999</v>
      </c>
      <c r="R626" s="421">
        <f t="shared" si="261"/>
        <v>23246.350000000002</v>
      </c>
      <c r="S626" s="421">
        <f t="shared" si="261"/>
        <v>22562.74</v>
      </c>
      <c r="T626" s="421">
        <f t="shared" si="258"/>
        <v>141.66580377500003</v>
      </c>
      <c r="U626" s="421">
        <f t="shared" si="259"/>
        <v>97.05928027410755</v>
      </c>
      <c r="V626" s="78"/>
      <c r="W626" s="78"/>
      <c r="X626" s="78"/>
      <c r="Y626" s="78"/>
      <c r="Z626" s="78"/>
      <c r="AA626" s="78"/>
      <c r="AB626" s="78"/>
      <c r="AC626" s="78"/>
      <c r="AD626" s="78"/>
      <c r="AE626" s="78"/>
      <c r="AF626" s="78"/>
      <c r="AG626" s="78"/>
      <c r="AH626" s="78"/>
      <c r="AI626" s="78"/>
      <c r="AJ626" s="78"/>
    </row>
    <row r="627" spans="1:36" s="212" customFormat="1" ht="23.25" customHeight="1">
      <c r="A627" s="238"/>
      <c r="B627" s="38"/>
      <c r="C627" s="38"/>
      <c r="D627" s="38"/>
      <c r="E627" s="38"/>
      <c r="F627" s="38"/>
      <c r="G627" s="38"/>
      <c r="H627" s="38"/>
      <c r="I627" s="38"/>
      <c r="J627" s="38"/>
      <c r="K627" s="31"/>
      <c r="L627" s="58"/>
      <c r="M627" s="429"/>
      <c r="N627" s="429"/>
      <c r="O627" s="429"/>
      <c r="P627" s="429"/>
      <c r="Q627" s="429"/>
      <c r="R627" s="429"/>
      <c r="S627" s="429"/>
      <c r="T627" s="429"/>
      <c r="U627" s="429"/>
      <c r="V627" s="78"/>
      <c r="W627" s="78"/>
      <c r="X627" s="78"/>
      <c r="Y627" s="78"/>
      <c r="Z627" s="78"/>
      <c r="AA627" s="78"/>
      <c r="AB627" s="78"/>
      <c r="AC627" s="78"/>
      <c r="AD627" s="78"/>
      <c r="AE627" s="78"/>
      <c r="AF627" s="78"/>
      <c r="AG627" s="78"/>
      <c r="AH627" s="78"/>
      <c r="AI627" s="78"/>
      <c r="AJ627" s="78"/>
    </row>
    <row r="628" spans="1:28" s="75" customFormat="1" ht="15">
      <c r="A628" s="41" t="s">
        <v>233</v>
      </c>
      <c r="B628" s="41"/>
      <c r="C628" s="41"/>
      <c r="D628" s="41"/>
      <c r="E628" s="41"/>
      <c r="F628" s="41"/>
      <c r="G628" s="41"/>
      <c r="H628" s="41"/>
      <c r="I628" s="41"/>
      <c r="J628" s="41"/>
      <c r="K628" s="41" t="s">
        <v>230</v>
      </c>
      <c r="L628" s="614" t="s">
        <v>361</v>
      </c>
      <c r="M628" s="430"/>
      <c r="N628" s="430"/>
      <c r="O628" s="430"/>
      <c r="P628" s="430"/>
      <c r="Q628" s="430"/>
      <c r="R628" s="430"/>
      <c r="S628" s="430"/>
      <c r="T628" s="430"/>
      <c r="U628" s="430"/>
      <c r="V628" s="78"/>
      <c r="W628" s="78"/>
      <c r="X628" s="78"/>
      <c r="Y628" s="78"/>
      <c r="Z628" s="78"/>
      <c r="AA628" s="78"/>
      <c r="AB628" s="78"/>
    </row>
    <row r="629" spans="1:28" s="75" customFormat="1" ht="15">
      <c r="A629" s="79" t="s">
        <v>233</v>
      </c>
      <c r="B629" s="79"/>
      <c r="C629" s="79"/>
      <c r="D629" s="79"/>
      <c r="E629" s="79"/>
      <c r="F629" s="79"/>
      <c r="G629" s="79"/>
      <c r="H629" s="79"/>
      <c r="I629" s="79"/>
      <c r="J629" s="79"/>
      <c r="K629" s="41" t="s">
        <v>48</v>
      </c>
      <c r="L629" s="618"/>
      <c r="M629" s="430"/>
      <c r="N629" s="430"/>
      <c r="O629" s="430"/>
      <c r="P629" s="430"/>
      <c r="Q629" s="430"/>
      <c r="R629" s="430"/>
      <c r="S629" s="430"/>
      <c r="T629" s="430"/>
      <c r="U629" s="430"/>
      <c r="V629" s="78"/>
      <c r="W629" s="78"/>
      <c r="X629" s="78"/>
      <c r="Y629" s="78"/>
      <c r="Z629" s="78"/>
      <c r="AA629" s="78"/>
      <c r="AB629" s="78"/>
    </row>
    <row r="630" spans="1:28" s="75" customFormat="1" ht="15.75">
      <c r="A630" s="37" t="s">
        <v>569</v>
      </c>
      <c r="B630" s="37">
        <v>1</v>
      </c>
      <c r="C630" s="37"/>
      <c r="D630" s="37">
        <v>3</v>
      </c>
      <c r="E630" s="37"/>
      <c r="F630" s="37"/>
      <c r="G630" s="37"/>
      <c r="H630" s="37"/>
      <c r="I630" s="37"/>
      <c r="J630" s="37">
        <v>133</v>
      </c>
      <c r="K630" s="272">
        <v>3</v>
      </c>
      <c r="L630" s="273" t="s">
        <v>0</v>
      </c>
      <c r="M630" s="422">
        <f aca="true" t="shared" si="262" ref="M630:S630">M631+M635</f>
        <v>26212.75466188864</v>
      </c>
      <c r="N630" s="422">
        <f t="shared" si="262"/>
        <v>29199.01785121773</v>
      </c>
      <c r="O630" s="437">
        <f t="shared" si="262"/>
        <v>159290.59658902383</v>
      </c>
      <c r="P630" s="437">
        <f t="shared" si="262"/>
        <v>29199.01785121773</v>
      </c>
      <c r="Q630" s="437">
        <f t="shared" si="262"/>
        <v>5527.22</v>
      </c>
      <c r="R630" s="437">
        <f t="shared" si="262"/>
        <v>26590.35</v>
      </c>
      <c r="S630" s="437">
        <f t="shared" si="262"/>
        <v>21470.59</v>
      </c>
      <c r="T630" s="437">
        <f>S630/M630*100</f>
        <v>81.90894195189875</v>
      </c>
      <c r="U630" s="437">
        <f>S630/R630*100</f>
        <v>80.74579687743862</v>
      </c>
      <c r="V630" s="78"/>
      <c r="W630" s="78"/>
      <c r="X630" s="78"/>
      <c r="Y630" s="78"/>
      <c r="Z630" s="78"/>
      <c r="AA630" s="78"/>
      <c r="AB630" s="78"/>
    </row>
    <row r="631" spans="1:28" s="75" customFormat="1" ht="15">
      <c r="A631" s="37" t="s">
        <v>569</v>
      </c>
      <c r="B631" s="37">
        <v>1</v>
      </c>
      <c r="C631" s="37"/>
      <c r="D631" s="37">
        <v>3</v>
      </c>
      <c r="E631" s="37"/>
      <c r="F631" s="37"/>
      <c r="G631" s="37"/>
      <c r="H631" s="37"/>
      <c r="I631" s="37"/>
      <c r="J631" s="37">
        <v>133</v>
      </c>
      <c r="K631" s="274">
        <v>38</v>
      </c>
      <c r="L631" s="278" t="s">
        <v>77</v>
      </c>
      <c r="M631" s="422">
        <f aca="true" t="shared" si="263" ref="M631:S631">M632</f>
        <v>21899.263388413296</v>
      </c>
      <c r="N631" s="422">
        <f t="shared" si="263"/>
        <v>22562.877430486427</v>
      </c>
      <c r="O631" s="437">
        <f t="shared" si="263"/>
        <v>109290.59658902383</v>
      </c>
      <c r="P631" s="437">
        <f t="shared" si="263"/>
        <v>22562.877430486427</v>
      </c>
      <c r="Q631" s="437">
        <f t="shared" si="263"/>
        <v>5527.22</v>
      </c>
      <c r="R631" s="437">
        <f t="shared" si="263"/>
        <v>19290.6</v>
      </c>
      <c r="S631" s="437">
        <f t="shared" si="263"/>
        <v>18100</v>
      </c>
      <c r="T631" s="437">
        <f aca="true" t="shared" si="264" ref="T631:T637">S631/M631*100</f>
        <v>82.65118181818183</v>
      </c>
      <c r="U631" s="437">
        <f aca="true" t="shared" si="265" ref="U631:U637">S631/R631*100</f>
        <v>93.82808207106052</v>
      </c>
      <c r="V631" s="78"/>
      <c r="W631" s="78"/>
      <c r="X631" s="78"/>
      <c r="Y631" s="78"/>
      <c r="Z631" s="78"/>
      <c r="AA631" s="78"/>
      <c r="AB631" s="78"/>
    </row>
    <row r="632" spans="1:28" s="75" customFormat="1" ht="20.25" customHeight="1">
      <c r="A632" s="37" t="s">
        <v>569</v>
      </c>
      <c r="B632" s="37">
        <v>1</v>
      </c>
      <c r="C632" s="37"/>
      <c r="D632" s="37">
        <v>3</v>
      </c>
      <c r="E632" s="37"/>
      <c r="F632" s="37"/>
      <c r="G632" s="37"/>
      <c r="H632" s="37"/>
      <c r="I632" s="37"/>
      <c r="J632" s="37">
        <v>133</v>
      </c>
      <c r="K632" s="272">
        <v>381</v>
      </c>
      <c r="L632" s="334" t="s">
        <v>234</v>
      </c>
      <c r="M632" s="422">
        <f aca="true" t="shared" si="266" ref="M632:S632">M633+M634</f>
        <v>21899.263388413296</v>
      </c>
      <c r="N632" s="422">
        <f t="shared" si="266"/>
        <v>22562.877430486427</v>
      </c>
      <c r="O632" s="422">
        <f t="shared" si="266"/>
        <v>109290.59658902383</v>
      </c>
      <c r="P632" s="422">
        <f t="shared" si="266"/>
        <v>22562.877430486427</v>
      </c>
      <c r="Q632" s="422">
        <f t="shared" si="266"/>
        <v>5527.22</v>
      </c>
      <c r="R632" s="422">
        <f t="shared" si="266"/>
        <v>19290.6</v>
      </c>
      <c r="S632" s="422">
        <f t="shared" si="266"/>
        <v>18100</v>
      </c>
      <c r="T632" s="437">
        <f t="shared" si="264"/>
        <v>82.65118181818183</v>
      </c>
      <c r="U632" s="437">
        <f t="shared" si="265"/>
        <v>93.82808207106052</v>
      </c>
      <c r="V632" s="78"/>
      <c r="W632" s="78"/>
      <c r="X632" s="78"/>
      <c r="Y632" s="78"/>
      <c r="Z632" s="78"/>
      <c r="AA632" s="78"/>
      <c r="AB632" s="78"/>
    </row>
    <row r="633" spans="1:28" s="75" customFormat="1" ht="15.75" customHeight="1">
      <c r="A633" s="37" t="s">
        <v>569</v>
      </c>
      <c r="B633" s="37">
        <v>1</v>
      </c>
      <c r="C633" s="37"/>
      <c r="D633" s="37">
        <v>3</v>
      </c>
      <c r="E633" s="37"/>
      <c r="F633" s="37"/>
      <c r="G633" s="37"/>
      <c r="H633" s="37"/>
      <c r="I633" s="37"/>
      <c r="J633" s="37">
        <v>133</v>
      </c>
      <c r="K633" s="42">
        <v>3811</v>
      </c>
      <c r="L633" s="88" t="s">
        <v>250</v>
      </c>
      <c r="M633" s="422">
        <f>63000/7.5345</f>
        <v>8361.536930121441</v>
      </c>
      <c r="N633" s="422">
        <f>100000/7.5345</f>
        <v>13272.280841462605</v>
      </c>
      <c r="O633" s="422">
        <v>100000</v>
      </c>
      <c r="P633" s="422">
        <f>100000/7.5345</f>
        <v>13272.280841462605</v>
      </c>
      <c r="Q633" s="422">
        <f>663.61+663.61</f>
        <v>1327.22</v>
      </c>
      <c r="R633" s="422">
        <v>10000</v>
      </c>
      <c r="S633" s="422">
        <v>10000</v>
      </c>
      <c r="T633" s="437">
        <f t="shared" si="264"/>
        <v>119.59523809523809</v>
      </c>
      <c r="U633" s="437">
        <f t="shared" si="265"/>
        <v>100</v>
      </c>
      <c r="V633" s="78"/>
      <c r="W633" s="78"/>
      <c r="X633" s="78"/>
      <c r="Y633" s="78"/>
      <c r="Z633" s="78"/>
      <c r="AA633" s="78"/>
      <c r="AB633" s="78"/>
    </row>
    <row r="634" spans="1:28" s="75" customFormat="1" ht="18.75" customHeight="1">
      <c r="A634" s="37" t="s">
        <v>569</v>
      </c>
      <c r="B634" s="37">
        <v>1</v>
      </c>
      <c r="C634" s="37"/>
      <c r="D634" s="37">
        <v>3</v>
      </c>
      <c r="E634" s="37"/>
      <c r="F634" s="37"/>
      <c r="G634" s="37"/>
      <c r="H634" s="37"/>
      <c r="I634" s="37"/>
      <c r="J634" s="37">
        <v>133</v>
      </c>
      <c r="K634" s="42">
        <v>3811</v>
      </c>
      <c r="L634" s="332" t="s">
        <v>496</v>
      </c>
      <c r="M634" s="475">
        <f>102000/7.5345</f>
        <v>13537.726458291856</v>
      </c>
      <c r="N634" s="475">
        <f>70000/7.5345</f>
        <v>9290.596589023824</v>
      </c>
      <c r="O634" s="475">
        <f>70000/7.5345</f>
        <v>9290.596589023824</v>
      </c>
      <c r="P634" s="475">
        <f>70000/7.5345</f>
        <v>9290.596589023824</v>
      </c>
      <c r="Q634" s="475">
        <f>3900+300</f>
        <v>4200</v>
      </c>
      <c r="R634" s="475">
        <v>9290.6</v>
      </c>
      <c r="S634" s="475">
        <v>8100</v>
      </c>
      <c r="T634" s="437">
        <f t="shared" si="264"/>
        <v>59.83279411764707</v>
      </c>
      <c r="U634" s="437">
        <f t="shared" si="265"/>
        <v>87.18489656211655</v>
      </c>
      <c r="V634" s="78"/>
      <c r="W634" s="78"/>
      <c r="X634" s="78"/>
      <c r="Y634" s="78"/>
      <c r="Z634" s="78"/>
      <c r="AA634" s="78"/>
      <c r="AB634" s="78"/>
    </row>
    <row r="635" spans="1:37" s="93" customFormat="1" ht="15" customHeight="1">
      <c r="A635" s="37" t="s">
        <v>569</v>
      </c>
      <c r="B635" s="65">
        <v>1</v>
      </c>
      <c r="C635" s="65"/>
      <c r="D635" s="37">
        <v>3</v>
      </c>
      <c r="E635" s="65"/>
      <c r="F635" s="65"/>
      <c r="G635" s="65"/>
      <c r="H635" s="65"/>
      <c r="I635" s="65"/>
      <c r="J635" s="37">
        <v>133</v>
      </c>
      <c r="K635" s="274">
        <v>32</v>
      </c>
      <c r="L635" s="331" t="s">
        <v>619</v>
      </c>
      <c r="M635" s="475">
        <f aca="true" t="shared" si="267" ref="M635:S635">M636</f>
        <v>4313.491273475346</v>
      </c>
      <c r="N635" s="475">
        <f t="shared" si="267"/>
        <v>6636.140420731303</v>
      </c>
      <c r="O635" s="475">
        <f t="shared" si="267"/>
        <v>50000</v>
      </c>
      <c r="P635" s="475">
        <f t="shared" si="267"/>
        <v>6636.140420731303</v>
      </c>
      <c r="Q635" s="475">
        <f t="shared" si="267"/>
        <v>0</v>
      </c>
      <c r="R635" s="475">
        <f t="shared" si="267"/>
        <v>7299.75</v>
      </c>
      <c r="S635" s="475">
        <f t="shared" si="267"/>
        <v>3370.59</v>
      </c>
      <c r="T635" s="437">
        <f t="shared" si="264"/>
        <v>78.14064724615386</v>
      </c>
      <c r="U635" s="437">
        <f t="shared" si="265"/>
        <v>46.17404705640604</v>
      </c>
      <c r="V635" s="78"/>
      <c r="W635" s="78"/>
      <c r="X635" s="78"/>
      <c r="Y635" s="78"/>
      <c r="Z635" s="78"/>
      <c r="AA635" s="78"/>
      <c r="AB635" s="78"/>
      <c r="AC635" s="186"/>
      <c r="AE635" s="301"/>
      <c r="AF635" s="78"/>
      <c r="AG635" s="78"/>
      <c r="AH635" s="78"/>
      <c r="AI635" s="78"/>
      <c r="AJ635" s="78"/>
      <c r="AK635" s="186"/>
    </row>
    <row r="636" spans="1:36" s="46" customFormat="1" ht="15.75" customHeight="1">
      <c r="A636" s="37" t="s">
        <v>569</v>
      </c>
      <c r="B636" s="65">
        <v>1</v>
      </c>
      <c r="C636" s="65"/>
      <c r="D636" s="37">
        <v>3</v>
      </c>
      <c r="E636" s="65"/>
      <c r="F636" s="65"/>
      <c r="G636" s="65"/>
      <c r="H636" s="65"/>
      <c r="I636" s="65"/>
      <c r="J636" s="37">
        <v>133</v>
      </c>
      <c r="K636" s="35">
        <v>329</v>
      </c>
      <c r="L636" s="345" t="s">
        <v>618</v>
      </c>
      <c r="M636" s="405">
        <f>32500/7.5345</f>
        <v>4313.491273475346</v>
      </c>
      <c r="N636" s="405">
        <f>50000/7.5345</f>
        <v>6636.140420731303</v>
      </c>
      <c r="O636" s="405">
        <v>50000</v>
      </c>
      <c r="P636" s="405">
        <f>50000/7.5345</f>
        <v>6636.140420731303</v>
      </c>
      <c r="Q636" s="405">
        <v>0</v>
      </c>
      <c r="R636" s="405">
        <f>6636.14+663.61</f>
        <v>7299.75</v>
      </c>
      <c r="S636" s="405">
        <f>2706.98+663.61</f>
        <v>3370.59</v>
      </c>
      <c r="T636" s="437">
        <f t="shared" si="264"/>
        <v>78.14064724615386</v>
      </c>
      <c r="U636" s="437">
        <f t="shared" si="265"/>
        <v>46.17404705640604</v>
      </c>
      <c r="V636" s="78"/>
      <c r="W636" s="78"/>
      <c r="X636" s="78"/>
      <c r="Y636" s="78"/>
      <c r="Z636" s="78"/>
      <c r="AA636" s="78"/>
      <c r="AB636" s="78"/>
      <c r="AC636" s="78"/>
      <c r="AD636" s="78"/>
      <c r="AE636" s="78"/>
      <c r="AF636" s="78"/>
      <c r="AG636" s="78"/>
      <c r="AH636" s="78"/>
      <c r="AI636" s="78"/>
      <c r="AJ636" s="78"/>
    </row>
    <row r="637" spans="1:36" s="212" customFormat="1" ht="15.75">
      <c r="A637" s="135"/>
      <c r="B637" s="125"/>
      <c r="C637" s="125"/>
      <c r="D637" s="125"/>
      <c r="E637" s="125"/>
      <c r="F637" s="125"/>
      <c r="G637" s="125"/>
      <c r="H637" s="125"/>
      <c r="I637" s="125"/>
      <c r="J637" s="125"/>
      <c r="K637" s="126"/>
      <c r="L637" s="127" t="s">
        <v>86</v>
      </c>
      <c r="M637" s="476">
        <f aca="true" t="shared" si="268" ref="M637:S637">M630</f>
        <v>26212.75466188864</v>
      </c>
      <c r="N637" s="476">
        <f t="shared" si="268"/>
        <v>29199.01785121773</v>
      </c>
      <c r="O637" s="476">
        <f t="shared" si="268"/>
        <v>159290.59658902383</v>
      </c>
      <c r="P637" s="476">
        <f t="shared" si="268"/>
        <v>29199.01785121773</v>
      </c>
      <c r="Q637" s="476">
        <f t="shared" si="268"/>
        <v>5527.22</v>
      </c>
      <c r="R637" s="476">
        <f t="shared" si="268"/>
        <v>26590.35</v>
      </c>
      <c r="S637" s="476">
        <f t="shared" si="268"/>
        <v>21470.59</v>
      </c>
      <c r="T637" s="421">
        <f t="shared" si="264"/>
        <v>81.90894195189875</v>
      </c>
      <c r="U637" s="421">
        <f t="shared" si="265"/>
        <v>80.74579687743862</v>
      </c>
      <c r="V637" s="78"/>
      <c r="W637" s="78"/>
      <c r="X637" s="78"/>
      <c r="Y637" s="78"/>
      <c r="Z637" s="78"/>
      <c r="AA637" s="78"/>
      <c r="AB637" s="78"/>
      <c r="AC637" s="78"/>
      <c r="AD637" s="78"/>
      <c r="AE637" s="78"/>
      <c r="AF637" s="78"/>
      <c r="AG637" s="78"/>
      <c r="AH637" s="78"/>
      <c r="AI637" s="78"/>
      <c r="AJ637" s="78"/>
    </row>
    <row r="638" spans="1:36" s="212" customFormat="1" ht="15.75" customHeight="1">
      <c r="A638" s="238"/>
      <c r="B638" s="38"/>
      <c r="C638" s="38"/>
      <c r="D638" s="38"/>
      <c r="E638" s="38"/>
      <c r="F638" s="38"/>
      <c r="G638" s="38"/>
      <c r="H638" s="38"/>
      <c r="I638" s="38"/>
      <c r="J638" s="38"/>
      <c r="K638" s="31"/>
      <c r="L638" s="58"/>
      <c r="M638" s="429"/>
      <c r="N638" s="429"/>
      <c r="O638" s="429"/>
      <c r="P638" s="429"/>
      <c r="Q638" s="429"/>
      <c r="R638" s="429"/>
      <c r="S638" s="429"/>
      <c r="T638" s="429"/>
      <c r="U638" s="429"/>
      <c r="V638" s="78"/>
      <c r="W638" s="78"/>
      <c r="X638" s="78"/>
      <c r="Y638" s="78"/>
      <c r="Z638" s="78"/>
      <c r="AA638" s="78"/>
      <c r="AB638" s="78"/>
      <c r="AC638" s="78"/>
      <c r="AD638" s="78"/>
      <c r="AE638" s="78"/>
      <c r="AF638" s="78"/>
      <c r="AG638" s="78"/>
      <c r="AH638" s="78"/>
      <c r="AI638" s="78"/>
      <c r="AJ638" s="78"/>
    </row>
    <row r="639" spans="1:28" s="75" customFormat="1" ht="15">
      <c r="A639" s="239" t="s">
        <v>344</v>
      </c>
      <c r="B639" s="79"/>
      <c r="C639" s="79"/>
      <c r="D639" s="79"/>
      <c r="E639" s="79"/>
      <c r="F639" s="79"/>
      <c r="G639" s="79"/>
      <c r="H639" s="79"/>
      <c r="I639" s="79"/>
      <c r="J639" s="79"/>
      <c r="K639" s="41" t="s">
        <v>312</v>
      </c>
      <c r="L639" s="614" t="s">
        <v>362</v>
      </c>
      <c r="M639" s="430"/>
      <c r="N639" s="430"/>
      <c r="O639" s="430"/>
      <c r="P639" s="430"/>
      <c r="Q639" s="430"/>
      <c r="R639" s="430"/>
      <c r="S639" s="430"/>
      <c r="T639" s="430"/>
      <c r="U639" s="430"/>
      <c r="V639" s="78"/>
      <c r="W639" s="78"/>
      <c r="X639" s="78"/>
      <c r="Y639" s="78"/>
      <c r="Z639" s="78"/>
      <c r="AA639" s="78"/>
      <c r="AB639" s="78"/>
    </row>
    <row r="640" spans="1:28" s="75" customFormat="1" ht="15">
      <c r="A640" s="79" t="s">
        <v>570</v>
      </c>
      <c r="B640" s="79"/>
      <c r="C640" s="79"/>
      <c r="D640" s="79"/>
      <c r="E640" s="79"/>
      <c r="F640" s="79"/>
      <c r="G640" s="79"/>
      <c r="H640" s="79"/>
      <c r="I640" s="79"/>
      <c r="J640" s="79"/>
      <c r="K640" s="41" t="s">
        <v>46</v>
      </c>
      <c r="L640" s="618"/>
      <c r="M640" s="430"/>
      <c r="N640" s="430"/>
      <c r="O640" s="430"/>
      <c r="P640" s="430"/>
      <c r="Q640" s="430"/>
      <c r="R640" s="430"/>
      <c r="S640" s="430"/>
      <c r="T640" s="430"/>
      <c r="U640" s="430"/>
      <c r="V640" s="78"/>
      <c r="W640" s="78"/>
      <c r="X640" s="78"/>
      <c r="Y640" s="78"/>
      <c r="Z640" s="78"/>
      <c r="AA640" s="78"/>
      <c r="AB640" s="78"/>
    </row>
    <row r="641" spans="1:28" s="75" customFormat="1" ht="15.75">
      <c r="A641" s="37" t="s">
        <v>570</v>
      </c>
      <c r="B641" s="37">
        <v>1</v>
      </c>
      <c r="C641" s="37"/>
      <c r="D641" s="37">
        <v>3</v>
      </c>
      <c r="E641" s="37"/>
      <c r="F641" s="37"/>
      <c r="G641" s="37"/>
      <c r="H641" s="37"/>
      <c r="I641" s="37"/>
      <c r="J641" s="37">
        <v>810</v>
      </c>
      <c r="K641" s="272">
        <v>3</v>
      </c>
      <c r="L641" s="273" t="s">
        <v>0</v>
      </c>
      <c r="M641" s="422">
        <f aca="true" t="shared" si="269" ref="M641:S641">M642+M645</f>
        <v>11108.8990643042</v>
      </c>
      <c r="N641" s="422">
        <f t="shared" si="269"/>
        <v>23890.10425243878</v>
      </c>
      <c r="O641" s="437">
        <f t="shared" si="269"/>
        <v>49908.42</v>
      </c>
      <c r="P641" s="437">
        <f t="shared" si="269"/>
        <v>23890.10425243878</v>
      </c>
      <c r="Q641" s="437">
        <f t="shared" si="269"/>
        <v>2233.27</v>
      </c>
      <c r="R641" s="437">
        <f t="shared" si="269"/>
        <v>18862.58</v>
      </c>
      <c r="S641" s="437">
        <f t="shared" si="269"/>
        <v>18862.58</v>
      </c>
      <c r="T641" s="437">
        <f>S641/M641*100</f>
        <v>169.79702390681007</v>
      </c>
      <c r="U641" s="437">
        <f>S641/R641*100</f>
        <v>100</v>
      </c>
      <c r="V641" s="78"/>
      <c r="W641" s="78"/>
      <c r="X641" s="78"/>
      <c r="Y641" s="78"/>
      <c r="Z641" s="78"/>
      <c r="AA641" s="78"/>
      <c r="AB641" s="78"/>
    </row>
    <row r="642" spans="1:28" s="75" customFormat="1" ht="15.75" customHeight="1">
      <c r="A642" s="37" t="s">
        <v>570</v>
      </c>
      <c r="B642" s="37">
        <v>1</v>
      </c>
      <c r="C642" s="37"/>
      <c r="D642" s="37">
        <v>3</v>
      </c>
      <c r="E642" s="37"/>
      <c r="F642" s="37"/>
      <c r="G642" s="37"/>
      <c r="H642" s="37"/>
      <c r="I642" s="37"/>
      <c r="J642" s="37">
        <v>810</v>
      </c>
      <c r="K642" s="274">
        <v>32</v>
      </c>
      <c r="L642" s="278" t="s">
        <v>5</v>
      </c>
      <c r="M642" s="422">
        <f aca="true" t="shared" si="270" ref="M642:S643">M643</f>
        <v>2349.193708938881</v>
      </c>
      <c r="N642" s="422">
        <f t="shared" si="270"/>
        <v>3981.684252438781</v>
      </c>
      <c r="O642" s="437">
        <f t="shared" si="270"/>
        <v>30000</v>
      </c>
      <c r="P642" s="437">
        <f t="shared" si="270"/>
        <v>3981.684252438781</v>
      </c>
      <c r="Q642" s="437">
        <f t="shared" si="270"/>
        <v>2233.27</v>
      </c>
      <c r="R642" s="437">
        <f t="shared" si="270"/>
        <v>5862.58</v>
      </c>
      <c r="S642" s="437">
        <f t="shared" si="270"/>
        <v>5862.58</v>
      </c>
      <c r="T642" s="437">
        <f aca="true" t="shared" si="271" ref="T642:T654">S642/M642*100</f>
        <v>249.55711305084748</v>
      </c>
      <c r="U642" s="437">
        <f aca="true" t="shared" si="272" ref="U642:U654">S642/R642*100</f>
        <v>100</v>
      </c>
      <c r="V642" s="78"/>
      <c r="W642" s="78"/>
      <c r="X642" s="78"/>
      <c r="Y642" s="78"/>
      <c r="Z642" s="78"/>
      <c r="AA642" s="78"/>
      <c r="AB642" s="78"/>
    </row>
    <row r="643" spans="1:28" s="94" customFormat="1" ht="36" customHeight="1">
      <c r="A643" s="37" t="s">
        <v>570</v>
      </c>
      <c r="B643" s="37">
        <v>1</v>
      </c>
      <c r="C643" s="37"/>
      <c r="D643" s="37">
        <v>3</v>
      </c>
      <c r="E643" s="37"/>
      <c r="F643" s="37"/>
      <c r="G643" s="37"/>
      <c r="H643" s="37"/>
      <c r="I643" s="37"/>
      <c r="J643" s="37">
        <v>810</v>
      </c>
      <c r="K643" s="272">
        <v>323</v>
      </c>
      <c r="L643" s="273" t="s">
        <v>7</v>
      </c>
      <c r="M643" s="422">
        <f t="shared" si="270"/>
        <v>2349.193708938881</v>
      </c>
      <c r="N643" s="422">
        <f t="shared" si="270"/>
        <v>3981.684252438781</v>
      </c>
      <c r="O643" s="437">
        <f t="shared" si="270"/>
        <v>30000</v>
      </c>
      <c r="P643" s="437">
        <f t="shared" si="270"/>
        <v>3981.684252438781</v>
      </c>
      <c r="Q643" s="437">
        <f t="shared" si="270"/>
        <v>2233.27</v>
      </c>
      <c r="R643" s="437">
        <f t="shared" si="270"/>
        <v>5862.58</v>
      </c>
      <c r="S643" s="437">
        <f t="shared" si="270"/>
        <v>5862.58</v>
      </c>
      <c r="T643" s="437">
        <f t="shared" si="271"/>
        <v>249.55711305084748</v>
      </c>
      <c r="U643" s="437">
        <f t="shared" si="272"/>
        <v>100</v>
      </c>
      <c r="V643" s="258"/>
      <c r="W643" s="258"/>
      <c r="X643" s="258"/>
      <c r="Y643" s="258"/>
      <c r="Z643" s="258"/>
      <c r="AA643" s="258"/>
      <c r="AB643" s="258"/>
    </row>
    <row r="644" spans="1:28" s="75" customFormat="1" ht="31.5" customHeight="1">
      <c r="A644" s="37" t="s">
        <v>570</v>
      </c>
      <c r="B644" s="37">
        <v>1</v>
      </c>
      <c r="C644" s="37"/>
      <c r="D644" s="37">
        <v>3</v>
      </c>
      <c r="E644" s="37"/>
      <c r="F644" s="37"/>
      <c r="G644" s="37"/>
      <c r="H644" s="37"/>
      <c r="I644" s="37"/>
      <c r="J644" s="37">
        <v>810</v>
      </c>
      <c r="K644" s="42">
        <v>3232</v>
      </c>
      <c r="L644" s="332" t="s">
        <v>544</v>
      </c>
      <c r="M644" s="422">
        <f>17700/7.5345</f>
        <v>2349.193708938881</v>
      </c>
      <c r="N644" s="422">
        <f>30000/7.5345</f>
        <v>3981.684252438781</v>
      </c>
      <c r="O644" s="422">
        <v>30000</v>
      </c>
      <c r="P644" s="422">
        <f>30000/7.5345</f>
        <v>3981.684252438781</v>
      </c>
      <c r="Q644" s="422">
        <v>2233.27</v>
      </c>
      <c r="R644" s="422">
        <v>5862.58</v>
      </c>
      <c r="S644" s="422">
        <v>5862.58</v>
      </c>
      <c r="T644" s="437">
        <f t="shared" si="271"/>
        <v>249.55711305084748</v>
      </c>
      <c r="U644" s="437">
        <f t="shared" si="272"/>
        <v>100</v>
      </c>
      <c r="V644" s="78"/>
      <c r="W644" s="78"/>
      <c r="X644" s="78"/>
      <c r="Y644" s="78"/>
      <c r="Z644" s="78"/>
      <c r="AA644" s="78"/>
      <c r="AB644" s="78"/>
    </row>
    <row r="645" spans="1:28" s="75" customFormat="1" ht="15.75">
      <c r="A645" s="308" t="s">
        <v>570</v>
      </c>
      <c r="B645" s="308">
        <v>1</v>
      </c>
      <c r="C645" s="308"/>
      <c r="D645" s="308">
        <v>3</v>
      </c>
      <c r="E645" s="308"/>
      <c r="F645" s="308"/>
      <c r="G645" s="308"/>
      <c r="H645" s="308"/>
      <c r="I645" s="308"/>
      <c r="J645" s="308">
        <v>810</v>
      </c>
      <c r="K645" s="274">
        <v>38</v>
      </c>
      <c r="L645" s="273" t="s">
        <v>11</v>
      </c>
      <c r="M645" s="422">
        <f aca="true" t="shared" si="273" ref="M645:S646">M646</f>
        <v>8759.705355365319</v>
      </c>
      <c r="N645" s="422">
        <f t="shared" si="273"/>
        <v>19908.42</v>
      </c>
      <c r="O645" s="437">
        <f t="shared" si="273"/>
        <v>19908.42</v>
      </c>
      <c r="P645" s="437">
        <f t="shared" si="273"/>
        <v>19908.42</v>
      </c>
      <c r="Q645" s="437">
        <f t="shared" si="273"/>
        <v>0</v>
      </c>
      <c r="R645" s="437">
        <f t="shared" si="273"/>
        <v>13000</v>
      </c>
      <c r="S645" s="437">
        <f t="shared" si="273"/>
        <v>13000</v>
      </c>
      <c r="T645" s="437">
        <f t="shared" si="271"/>
        <v>148.4068181818182</v>
      </c>
      <c r="U645" s="437">
        <f t="shared" si="272"/>
        <v>100</v>
      </c>
      <c r="V645" s="78"/>
      <c r="W645" s="78"/>
      <c r="X645" s="78"/>
      <c r="Y645" s="78"/>
      <c r="Z645" s="78"/>
      <c r="AA645" s="78"/>
      <c r="AB645" s="78"/>
    </row>
    <row r="646" spans="1:28" s="75" customFormat="1" ht="17.25" customHeight="1">
      <c r="A646" s="37" t="s">
        <v>570</v>
      </c>
      <c r="B646" s="37">
        <v>1</v>
      </c>
      <c r="C646" s="37"/>
      <c r="D646" s="37">
        <v>3</v>
      </c>
      <c r="E646" s="37"/>
      <c r="F646" s="37"/>
      <c r="G646" s="37"/>
      <c r="H646" s="37"/>
      <c r="I646" s="37"/>
      <c r="J646" s="37">
        <v>810</v>
      </c>
      <c r="K646" s="272">
        <v>381</v>
      </c>
      <c r="L646" s="273" t="s">
        <v>12</v>
      </c>
      <c r="M646" s="422">
        <f>M647</f>
        <v>8759.705355365319</v>
      </c>
      <c r="N646" s="422">
        <f>N647</f>
        <v>19908.42</v>
      </c>
      <c r="O646" s="422">
        <f t="shared" si="273"/>
        <v>19908.42</v>
      </c>
      <c r="P646" s="422">
        <f t="shared" si="273"/>
        <v>19908.42</v>
      </c>
      <c r="Q646" s="422">
        <f t="shared" si="273"/>
        <v>0</v>
      </c>
      <c r="R646" s="422">
        <f t="shared" si="273"/>
        <v>13000</v>
      </c>
      <c r="S646" s="422">
        <f t="shared" si="273"/>
        <v>13000</v>
      </c>
      <c r="T646" s="437">
        <f t="shared" si="271"/>
        <v>148.4068181818182</v>
      </c>
      <c r="U646" s="437">
        <f t="shared" si="272"/>
        <v>100</v>
      </c>
      <c r="V646" s="78"/>
      <c r="W646" s="78"/>
      <c r="X646" s="78"/>
      <c r="Y646" s="78"/>
      <c r="Z646" s="78"/>
      <c r="AA646" s="78"/>
      <c r="AB646" s="78"/>
    </row>
    <row r="647" spans="1:28" s="75" customFormat="1" ht="27.75" customHeight="1">
      <c r="A647" s="37" t="s">
        <v>570</v>
      </c>
      <c r="B647" s="37">
        <v>1</v>
      </c>
      <c r="C647" s="37"/>
      <c r="D647" s="37">
        <v>3</v>
      </c>
      <c r="E647" s="37"/>
      <c r="F647" s="37"/>
      <c r="G647" s="37"/>
      <c r="H647" s="37"/>
      <c r="I647" s="37"/>
      <c r="J647" s="37">
        <v>810</v>
      </c>
      <c r="K647" s="42">
        <v>3811</v>
      </c>
      <c r="L647" s="345" t="s">
        <v>236</v>
      </c>
      <c r="M647" s="422">
        <f>66000/7.5345</f>
        <v>8759.705355365319</v>
      </c>
      <c r="N647" s="422">
        <v>19908.42</v>
      </c>
      <c r="O647" s="422">
        <v>19908.42</v>
      </c>
      <c r="P647" s="422">
        <v>19908.42</v>
      </c>
      <c r="Q647" s="422">
        <v>0</v>
      </c>
      <c r="R647" s="422">
        <v>13000</v>
      </c>
      <c r="S647" s="422">
        <v>13000</v>
      </c>
      <c r="T647" s="437">
        <f t="shared" si="271"/>
        <v>148.4068181818182</v>
      </c>
      <c r="U647" s="437">
        <f t="shared" si="272"/>
        <v>100</v>
      </c>
      <c r="V647" s="78"/>
      <c r="W647" s="78"/>
      <c r="X647" s="78"/>
      <c r="Y647" s="78"/>
      <c r="Z647" s="78"/>
      <c r="AA647" s="78"/>
      <c r="AB647" s="78"/>
    </row>
    <row r="648" spans="1:28" s="75" customFormat="1" ht="18" customHeight="1">
      <c r="A648" s="37" t="s">
        <v>570</v>
      </c>
      <c r="B648" s="37">
        <v>1</v>
      </c>
      <c r="C648" s="37"/>
      <c r="D648" s="37">
        <v>3</v>
      </c>
      <c r="E648" s="37">
        <v>4</v>
      </c>
      <c r="F648" s="37"/>
      <c r="G648" s="37"/>
      <c r="H648" s="37"/>
      <c r="I648" s="37"/>
      <c r="J648" s="37">
        <v>810</v>
      </c>
      <c r="K648" s="274">
        <v>4</v>
      </c>
      <c r="L648" s="277" t="s">
        <v>1</v>
      </c>
      <c r="M648" s="428">
        <f aca="true" t="shared" si="274" ref="M648:S649">M649</f>
        <v>13526.179573959784</v>
      </c>
      <c r="N648" s="428">
        <f t="shared" si="274"/>
        <v>90251.51000000001</v>
      </c>
      <c r="O648" s="465">
        <f t="shared" si="274"/>
        <v>680000</v>
      </c>
      <c r="P648" s="465">
        <f t="shared" si="274"/>
        <v>107387.00972194571</v>
      </c>
      <c r="Q648" s="465">
        <f t="shared" si="274"/>
        <v>67821.18</v>
      </c>
      <c r="R648" s="465">
        <f t="shared" si="274"/>
        <v>89347.43</v>
      </c>
      <c r="S648" s="465">
        <f t="shared" si="274"/>
        <v>106261.06</v>
      </c>
      <c r="T648" s="437">
        <f t="shared" si="271"/>
        <v>785.5955143799124</v>
      </c>
      <c r="U648" s="437">
        <f t="shared" si="272"/>
        <v>118.93018075617844</v>
      </c>
      <c r="V648" s="78"/>
      <c r="W648" s="78"/>
      <c r="X648" s="78"/>
      <c r="Y648" s="78"/>
      <c r="Z648" s="78"/>
      <c r="AA648" s="78"/>
      <c r="AB648" s="78"/>
    </row>
    <row r="649" spans="1:28" s="75" customFormat="1" ht="17.25" customHeight="1">
      <c r="A649" s="37" t="s">
        <v>570</v>
      </c>
      <c r="B649" s="37">
        <v>1</v>
      </c>
      <c r="C649" s="37"/>
      <c r="D649" s="37">
        <v>3</v>
      </c>
      <c r="E649" s="37">
        <v>4</v>
      </c>
      <c r="F649" s="37"/>
      <c r="G649" s="37"/>
      <c r="H649" s="37"/>
      <c r="I649" s="37"/>
      <c r="J649" s="37">
        <v>810</v>
      </c>
      <c r="K649" s="274">
        <v>45</v>
      </c>
      <c r="L649" s="276" t="s">
        <v>378</v>
      </c>
      <c r="M649" s="428">
        <f t="shared" si="274"/>
        <v>13526.179573959784</v>
      </c>
      <c r="N649" s="428">
        <f t="shared" si="274"/>
        <v>90251.51000000001</v>
      </c>
      <c r="O649" s="465">
        <f t="shared" si="274"/>
        <v>680000</v>
      </c>
      <c r="P649" s="465">
        <f t="shared" si="274"/>
        <v>107387.00972194571</v>
      </c>
      <c r="Q649" s="465">
        <f t="shared" si="274"/>
        <v>67821.18</v>
      </c>
      <c r="R649" s="465">
        <f t="shared" si="274"/>
        <v>89347.43</v>
      </c>
      <c r="S649" s="465">
        <f t="shared" si="274"/>
        <v>106261.06</v>
      </c>
      <c r="T649" s="437">
        <f t="shared" si="271"/>
        <v>785.5955143799124</v>
      </c>
      <c r="U649" s="437">
        <f t="shared" si="272"/>
        <v>118.93018075617844</v>
      </c>
      <c r="V649" s="78"/>
      <c r="W649" s="78"/>
      <c r="X649" s="78"/>
      <c r="Y649" s="78"/>
      <c r="Z649" s="78"/>
      <c r="AA649" s="78"/>
      <c r="AB649" s="78"/>
    </row>
    <row r="650" spans="1:28" s="75" customFormat="1" ht="18.75" customHeight="1">
      <c r="A650" s="37" t="s">
        <v>570</v>
      </c>
      <c r="B650" s="37">
        <v>1</v>
      </c>
      <c r="C650" s="37"/>
      <c r="D650" s="37">
        <v>3</v>
      </c>
      <c r="E650" s="37">
        <v>4</v>
      </c>
      <c r="F650" s="37"/>
      <c r="G650" s="37"/>
      <c r="H650" s="37"/>
      <c r="I650" s="37"/>
      <c r="J650" s="37">
        <v>810</v>
      </c>
      <c r="K650" s="286">
        <v>454</v>
      </c>
      <c r="L650" s="331" t="s">
        <v>467</v>
      </c>
      <c r="M650" s="422">
        <f>M651+M653</f>
        <v>13526.179573959784</v>
      </c>
      <c r="N650" s="422">
        <f>N651+N653+N652</f>
        <v>90251.51000000001</v>
      </c>
      <c r="O650" s="422">
        <f>O651+O653</f>
        <v>680000</v>
      </c>
      <c r="P650" s="422">
        <f>P651+P653+P652</f>
        <v>107387.00972194571</v>
      </c>
      <c r="Q650" s="422">
        <f>Q651+Q653</f>
        <v>67821.18</v>
      </c>
      <c r="R650" s="422">
        <f>R651+R653</f>
        <v>89347.43</v>
      </c>
      <c r="S650" s="422">
        <f>S651+S653+S652</f>
        <v>106261.06</v>
      </c>
      <c r="T650" s="437">
        <f t="shared" si="271"/>
        <v>785.5955143799124</v>
      </c>
      <c r="U650" s="437">
        <f t="shared" si="272"/>
        <v>118.93018075617844</v>
      </c>
      <c r="V650" s="78"/>
      <c r="W650" s="78"/>
      <c r="X650" s="78"/>
      <c r="Y650" s="78"/>
      <c r="Z650" s="78"/>
      <c r="AA650" s="78"/>
      <c r="AB650" s="78"/>
    </row>
    <row r="651" spans="1:36" s="128" customFormat="1" ht="15.75" customHeight="1">
      <c r="A651" s="37" t="s">
        <v>570</v>
      </c>
      <c r="B651" s="37">
        <v>1</v>
      </c>
      <c r="C651" s="37"/>
      <c r="D651" s="37">
        <v>3</v>
      </c>
      <c r="E651" s="37">
        <v>4</v>
      </c>
      <c r="F651" s="37"/>
      <c r="G651" s="37"/>
      <c r="H651" s="37"/>
      <c r="I651" s="37"/>
      <c r="J651" s="37">
        <v>840</v>
      </c>
      <c r="K651" s="42">
        <v>4541</v>
      </c>
      <c r="L651" s="332" t="s">
        <v>606</v>
      </c>
      <c r="M651" s="428">
        <v>0</v>
      </c>
      <c r="N651" s="428">
        <v>71670.32</v>
      </c>
      <c r="O651" s="428">
        <v>540000</v>
      </c>
      <c r="P651" s="428">
        <f>540000/7.5345</f>
        <v>71670.31654389806</v>
      </c>
      <c r="Q651" s="428">
        <v>67821.18</v>
      </c>
      <c r="R651" s="428">
        <v>67821.18</v>
      </c>
      <c r="S651" s="428">
        <v>68384.43</v>
      </c>
      <c r="T651" s="437" t="e">
        <f t="shared" si="271"/>
        <v>#DIV/0!</v>
      </c>
      <c r="U651" s="437">
        <f t="shared" si="272"/>
        <v>100.8304927752658</v>
      </c>
      <c r="V651" s="78"/>
      <c r="W651" s="78"/>
      <c r="X651" s="78"/>
      <c r="Y651" s="78"/>
      <c r="Z651" s="78"/>
      <c r="AA651" s="78"/>
      <c r="AB651" s="78"/>
      <c r="AC651" s="75"/>
      <c r="AD651" s="75"/>
      <c r="AE651" s="75"/>
      <c r="AF651" s="75"/>
      <c r="AG651" s="75"/>
      <c r="AH651" s="75"/>
      <c r="AI651" s="75"/>
      <c r="AJ651" s="75"/>
    </row>
    <row r="652" spans="1:36" s="128" customFormat="1" ht="15.75" customHeight="1">
      <c r="A652" s="37" t="s">
        <v>570</v>
      </c>
      <c r="B652" s="37">
        <v>1</v>
      </c>
      <c r="C652" s="37"/>
      <c r="D652" s="37">
        <v>3</v>
      </c>
      <c r="E652" s="37">
        <v>4</v>
      </c>
      <c r="F652" s="37"/>
      <c r="G652" s="37"/>
      <c r="H652" s="37"/>
      <c r="I652" s="37"/>
      <c r="J652" s="37">
        <v>870</v>
      </c>
      <c r="K652" s="42">
        <v>4541</v>
      </c>
      <c r="L652" s="332" t="s">
        <v>659</v>
      </c>
      <c r="M652" s="422">
        <v>0</v>
      </c>
      <c r="N652" s="422">
        <v>0</v>
      </c>
      <c r="O652" s="422"/>
      <c r="P652" s="502">
        <v>17135.5</v>
      </c>
      <c r="Q652" s="422">
        <v>0</v>
      </c>
      <c r="R652" s="422">
        <v>16350.38</v>
      </c>
      <c r="S652" s="422">
        <v>16350.38</v>
      </c>
      <c r="T652" s="437" t="e">
        <f t="shared" si="271"/>
        <v>#DIV/0!</v>
      </c>
      <c r="U652" s="437">
        <f t="shared" si="272"/>
        <v>100</v>
      </c>
      <c r="V652" s="78"/>
      <c r="W652" s="78"/>
      <c r="X652" s="78"/>
      <c r="Y652" s="78"/>
      <c r="Z652" s="78"/>
      <c r="AA652" s="78"/>
      <c r="AB652" s="78"/>
      <c r="AC652" s="75"/>
      <c r="AD652" s="75"/>
      <c r="AE652" s="75"/>
      <c r="AF652" s="75"/>
      <c r="AG652" s="75"/>
      <c r="AH652" s="75"/>
      <c r="AI652" s="75"/>
      <c r="AJ652" s="75"/>
    </row>
    <row r="653" spans="1:36" s="128" customFormat="1" ht="14.25" customHeight="1">
      <c r="A653" s="37" t="s">
        <v>570</v>
      </c>
      <c r="B653" s="37">
        <v>1</v>
      </c>
      <c r="C653" s="37"/>
      <c r="D653" s="37">
        <v>3</v>
      </c>
      <c r="E653" s="37">
        <v>4</v>
      </c>
      <c r="F653" s="37"/>
      <c r="G653" s="37"/>
      <c r="H653" s="37"/>
      <c r="I653" s="37"/>
      <c r="J653" s="37">
        <v>840</v>
      </c>
      <c r="K653" s="42">
        <v>4541</v>
      </c>
      <c r="L653" s="332" t="s">
        <v>608</v>
      </c>
      <c r="M653" s="424">
        <f>101913/7.5345</f>
        <v>13526.179573959784</v>
      </c>
      <c r="N653" s="424">
        <v>18581.19</v>
      </c>
      <c r="O653" s="424">
        <v>140000</v>
      </c>
      <c r="P653" s="424">
        <f>140000/7.5345</f>
        <v>18581.193178047648</v>
      </c>
      <c r="Q653" s="424">
        <v>0</v>
      </c>
      <c r="R653" s="424">
        <f>20276.25+1250</f>
        <v>21526.25</v>
      </c>
      <c r="S653" s="424">
        <v>21526.25</v>
      </c>
      <c r="T653" s="437">
        <f t="shared" si="271"/>
        <v>159.1450851461541</v>
      </c>
      <c r="U653" s="437">
        <f t="shared" si="272"/>
        <v>100</v>
      </c>
      <c r="V653" s="78"/>
      <c r="W653" s="78"/>
      <c r="X653" s="78"/>
      <c r="Y653" s="78"/>
      <c r="Z653" s="78"/>
      <c r="AA653" s="78"/>
      <c r="AB653" s="78"/>
      <c r="AC653" s="75"/>
      <c r="AD653" s="75"/>
      <c r="AE653" s="75"/>
      <c r="AF653" s="75"/>
      <c r="AG653" s="75"/>
      <c r="AH653" s="75"/>
      <c r="AI653" s="75"/>
      <c r="AJ653" s="75"/>
    </row>
    <row r="654" spans="1:36" s="212" customFormat="1" ht="15.75">
      <c r="A654" s="135"/>
      <c r="B654" s="125"/>
      <c r="C654" s="125"/>
      <c r="D654" s="125"/>
      <c r="E654" s="125"/>
      <c r="F654" s="125"/>
      <c r="G654" s="125"/>
      <c r="H654" s="125"/>
      <c r="I654" s="125"/>
      <c r="J654" s="125"/>
      <c r="K654" s="126"/>
      <c r="L654" s="127" t="s">
        <v>86</v>
      </c>
      <c r="M654" s="421">
        <f aca="true" t="shared" si="275" ref="M654:S654">M641+M648</f>
        <v>24635.078638263985</v>
      </c>
      <c r="N654" s="421">
        <f t="shared" si="275"/>
        <v>114141.6142524388</v>
      </c>
      <c r="O654" s="421">
        <f t="shared" si="275"/>
        <v>729908.42</v>
      </c>
      <c r="P654" s="421">
        <f t="shared" si="275"/>
        <v>131277.1139743845</v>
      </c>
      <c r="Q654" s="421">
        <f t="shared" si="275"/>
        <v>70054.45</v>
      </c>
      <c r="R654" s="421">
        <f t="shared" si="275"/>
        <v>108210.01</v>
      </c>
      <c r="S654" s="421">
        <f t="shared" si="275"/>
        <v>125123.64</v>
      </c>
      <c r="T654" s="421">
        <f t="shared" si="271"/>
        <v>507.90842536891273</v>
      </c>
      <c r="U654" s="421">
        <f t="shared" si="272"/>
        <v>115.63037467605817</v>
      </c>
      <c r="V654" s="78"/>
      <c r="W654" s="78"/>
      <c r="X654" s="78"/>
      <c r="Y654" s="78"/>
      <c r="Z654" s="78"/>
      <c r="AA654" s="78"/>
      <c r="AB654" s="78"/>
      <c r="AC654" s="78"/>
      <c r="AD654" s="78"/>
      <c r="AE654" s="78"/>
      <c r="AF654" s="78"/>
      <c r="AG654" s="78"/>
      <c r="AH654" s="78"/>
      <c r="AI654" s="78"/>
      <c r="AJ654" s="78"/>
    </row>
    <row r="655" spans="1:36" s="212" customFormat="1" ht="18.75" customHeight="1">
      <c r="A655" s="38"/>
      <c r="B655" s="38"/>
      <c r="C655" s="38"/>
      <c r="D655" s="38"/>
      <c r="E655" s="38"/>
      <c r="F655" s="38"/>
      <c r="G655" s="38"/>
      <c r="H655" s="38"/>
      <c r="I655" s="38"/>
      <c r="J655" s="38"/>
      <c r="K655" s="31"/>
      <c r="L655" s="58"/>
      <c r="M655" s="429"/>
      <c r="N655" s="429"/>
      <c r="O655" s="429"/>
      <c r="P655" s="429"/>
      <c r="Q655" s="429"/>
      <c r="R655" s="429"/>
      <c r="S655" s="429"/>
      <c r="T655" s="429"/>
      <c r="U655" s="429"/>
      <c r="V655" s="78"/>
      <c r="W655" s="78"/>
      <c r="X655" s="78"/>
      <c r="Y655" s="78"/>
      <c r="Z655" s="78"/>
      <c r="AA655" s="78"/>
      <c r="AB655" s="78"/>
      <c r="AC655" s="78"/>
      <c r="AD655" s="78"/>
      <c r="AE655" s="78"/>
      <c r="AF655" s="78"/>
      <c r="AG655" s="78"/>
      <c r="AH655" s="78"/>
      <c r="AI655" s="78"/>
      <c r="AJ655" s="78"/>
    </row>
    <row r="656" spans="1:28" s="75" customFormat="1" ht="15">
      <c r="A656" s="79" t="s">
        <v>235</v>
      </c>
      <c r="B656" s="79"/>
      <c r="C656" s="79"/>
      <c r="D656" s="79"/>
      <c r="E656" s="79"/>
      <c r="F656" s="79"/>
      <c r="G656" s="79"/>
      <c r="H656" s="79"/>
      <c r="I656" s="79"/>
      <c r="J656" s="79"/>
      <c r="K656" s="41" t="s">
        <v>313</v>
      </c>
      <c r="L656" s="614" t="s">
        <v>363</v>
      </c>
      <c r="M656" s="430"/>
      <c r="N656" s="430"/>
      <c r="O656" s="430"/>
      <c r="P656" s="430"/>
      <c r="Q656" s="430"/>
      <c r="R656" s="430"/>
      <c r="S656" s="430"/>
      <c r="T656" s="430"/>
      <c r="U656" s="430"/>
      <c r="V656" s="78"/>
      <c r="W656" s="78"/>
      <c r="X656" s="78"/>
      <c r="Y656" s="78"/>
      <c r="Z656" s="78"/>
      <c r="AA656" s="78"/>
      <c r="AB656" s="78"/>
    </row>
    <row r="657" spans="1:28" s="75" customFormat="1" ht="15">
      <c r="A657" s="79" t="s">
        <v>571</v>
      </c>
      <c r="B657" s="79"/>
      <c r="C657" s="79"/>
      <c r="D657" s="79"/>
      <c r="E657" s="79"/>
      <c r="F657" s="79"/>
      <c r="G657" s="79"/>
      <c r="H657" s="79"/>
      <c r="I657" s="79"/>
      <c r="J657" s="79"/>
      <c r="K657" s="41" t="s">
        <v>46</v>
      </c>
      <c r="L657" s="618"/>
      <c r="M657" s="430"/>
      <c r="N657" s="430"/>
      <c r="O657" s="430"/>
      <c r="P657" s="430"/>
      <c r="Q657" s="430"/>
      <c r="R657" s="430"/>
      <c r="S657" s="430"/>
      <c r="T657" s="430"/>
      <c r="U657" s="430"/>
      <c r="V657" s="78"/>
      <c r="W657" s="78"/>
      <c r="X657" s="78"/>
      <c r="Y657" s="78"/>
      <c r="Z657" s="78"/>
      <c r="AA657" s="78"/>
      <c r="AB657" s="78"/>
    </row>
    <row r="658" spans="1:28" s="75" customFormat="1" ht="15.75">
      <c r="A658" s="37" t="s">
        <v>571</v>
      </c>
      <c r="B658" s="37">
        <v>1</v>
      </c>
      <c r="C658" s="37"/>
      <c r="D658" s="37">
        <v>3</v>
      </c>
      <c r="E658" s="37"/>
      <c r="F658" s="37"/>
      <c r="G658" s="37"/>
      <c r="H658" s="37"/>
      <c r="I658" s="37"/>
      <c r="J658" s="37">
        <v>360</v>
      </c>
      <c r="K658" s="272">
        <v>3</v>
      </c>
      <c r="L658" s="273" t="s">
        <v>0</v>
      </c>
      <c r="M658" s="422">
        <f aca="true" t="shared" si="276" ref="M658:S658">M659</f>
        <v>0</v>
      </c>
      <c r="N658" s="422">
        <f t="shared" si="276"/>
        <v>663.6140420731302</v>
      </c>
      <c r="O658" s="437">
        <f t="shared" si="276"/>
        <v>5000</v>
      </c>
      <c r="P658" s="437">
        <f t="shared" si="276"/>
        <v>663.6140420731302</v>
      </c>
      <c r="Q658" s="437">
        <f t="shared" si="276"/>
        <v>0</v>
      </c>
      <c r="R658" s="437">
        <f t="shared" si="276"/>
        <v>0</v>
      </c>
      <c r="S658" s="437">
        <f t="shared" si="276"/>
        <v>0</v>
      </c>
      <c r="T658" s="437" t="e">
        <f>S658/M658*100</f>
        <v>#DIV/0!</v>
      </c>
      <c r="U658" s="437" t="e">
        <f>S658/R658*100</f>
        <v>#DIV/0!</v>
      </c>
      <c r="V658" s="78"/>
      <c r="W658" s="78"/>
      <c r="X658" s="78"/>
      <c r="Y658" s="78"/>
      <c r="Z658" s="78"/>
      <c r="AA658" s="78"/>
      <c r="AB658" s="78"/>
    </row>
    <row r="659" spans="1:28" s="75" customFormat="1" ht="15">
      <c r="A659" s="37" t="s">
        <v>571</v>
      </c>
      <c r="B659" s="37">
        <v>1</v>
      </c>
      <c r="C659" s="37"/>
      <c r="D659" s="37">
        <v>3</v>
      </c>
      <c r="E659" s="37"/>
      <c r="F659" s="37"/>
      <c r="G659" s="37"/>
      <c r="H659" s="37"/>
      <c r="I659" s="37"/>
      <c r="J659" s="37">
        <v>360</v>
      </c>
      <c r="K659" s="274">
        <v>38</v>
      </c>
      <c r="L659" s="278" t="s">
        <v>11</v>
      </c>
      <c r="M659" s="422">
        <f>M660</f>
        <v>0</v>
      </c>
      <c r="N659" s="422">
        <f>N660</f>
        <v>663.6140420731302</v>
      </c>
      <c r="O659" s="437">
        <f aca="true" t="shared" si="277" ref="M659:S660">O660</f>
        <v>5000</v>
      </c>
      <c r="P659" s="437">
        <f t="shared" si="277"/>
        <v>663.6140420731302</v>
      </c>
      <c r="Q659" s="437">
        <f t="shared" si="277"/>
        <v>0</v>
      </c>
      <c r="R659" s="437">
        <f t="shared" si="277"/>
        <v>0</v>
      </c>
      <c r="S659" s="437">
        <f t="shared" si="277"/>
        <v>0</v>
      </c>
      <c r="T659" s="437" t="e">
        <f>S659/M659*100</f>
        <v>#DIV/0!</v>
      </c>
      <c r="U659" s="437" t="e">
        <f>S659/R659*100</f>
        <v>#DIV/0!</v>
      </c>
      <c r="V659" s="78"/>
      <c r="W659" s="78"/>
      <c r="X659" s="78"/>
      <c r="Y659" s="78"/>
      <c r="Z659" s="78"/>
      <c r="AA659" s="78"/>
      <c r="AB659" s="78"/>
    </row>
    <row r="660" spans="1:36" s="128" customFormat="1" ht="28.5" customHeight="1">
      <c r="A660" s="37" t="s">
        <v>571</v>
      </c>
      <c r="B660" s="37">
        <v>1</v>
      </c>
      <c r="C660" s="37"/>
      <c r="D660" s="37">
        <v>3</v>
      </c>
      <c r="E660" s="37"/>
      <c r="F660" s="37"/>
      <c r="G660" s="37"/>
      <c r="H660" s="37"/>
      <c r="I660" s="37"/>
      <c r="J660" s="37">
        <v>360</v>
      </c>
      <c r="K660" s="272">
        <v>381</v>
      </c>
      <c r="L660" s="273" t="s">
        <v>12</v>
      </c>
      <c r="M660" s="428">
        <f t="shared" si="277"/>
        <v>0</v>
      </c>
      <c r="N660" s="428">
        <f t="shared" si="277"/>
        <v>663.6140420731302</v>
      </c>
      <c r="O660" s="465">
        <f t="shared" si="277"/>
        <v>5000</v>
      </c>
      <c r="P660" s="465">
        <f t="shared" si="277"/>
        <v>663.6140420731302</v>
      </c>
      <c r="Q660" s="465">
        <f t="shared" si="277"/>
        <v>0</v>
      </c>
      <c r="R660" s="465">
        <f t="shared" si="277"/>
        <v>0</v>
      </c>
      <c r="S660" s="465">
        <f t="shared" si="277"/>
        <v>0</v>
      </c>
      <c r="T660" s="437" t="e">
        <f>S660/M660*100</f>
        <v>#DIV/0!</v>
      </c>
      <c r="U660" s="437" t="e">
        <f>S660/R660*100</f>
        <v>#DIV/0!</v>
      </c>
      <c r="V660" s="78"/>
      <c r="W660" s="78"/>
      <c r="X660" s="78"/>
      <c r="Y660" s="78"/>
      <c r="Z660" s="78"/>
      <c r="AA660" s="78"/>
      <c r="AB660" s="78"/>
      <c r="AC660" s="75"/>
      <c r="AD660" s="75"/>
      <c r="AE660" s="75"/>
      <c r="AF660" s="75"/>
      <c r="AG660" s="75"/>
      <c r="AH660" s="75"/>
      <c r="AI660" s="75"/>
      <c r="AJ660" s="75"/>
    </row>
    <row r="661" spans="1:36" s="46" customFormat="1" ht="20.25" customHeight="1">
      <c r="A661" s="37" t="s">
        <v>571</v>
      </c>
      <c r="B661" s="37">
        <v>1</v>
      </c>
      <c r="C661" s="37"/>
      <c r="D661" s="37">
        <v>3</v>
      </c>
      <c r="E661" s="37"/>
      <c r="F661" s="37"/>
      <c r="G661" s="37"/>
      <c r="H661" s="37"/>
      <c r="I661" s="37"/>
      <c r="J661" s="37">
        <v>360</v>
      </c>
      <c r="K661" s="42">
        <v>3811</v>
      </c>
      <c r="L661" s="88" t="s">
        <v>76</v>
      </c>
      <c r="M661" s="424">
        <v>0</v>
      </c>
      <c r="N661" s="424">
        <f>5000/7.5345</f>
        <v>663.6140420731302</v>
      </c>
      <c r="O661" s="424">
        <v>5000</v>
      </c>
      <c r="P661" s="424">
        <f>5000/7.5345</f>
        <v>663.6140420731302</v>
      </c>
      <c r="Q661" s="424">
        <v>0</v>
      </c>
      <c r="R661" s="424"/>
      <c r="S661" s="424"/>
      <c r="T661" s="437" t="e">
        <f>S661/M661*100</f>
        <v>#DIV/0!</v>
      </c>
      <c r="U661" s="437" t="e">
        <f>S661/R661*100</f>
        <v>#DIV/0!</v>
      </c>
      <c r="V661" s="78"/>
      <c r="W661" s="78"/>
      <c r="X661" s="78"/>
      <c r="Y661" s="78"/>
      <c r="Z661" s="78"/>
      <c r="AA661" s="78"/>
      <c r="AB661" s="78"/>
      <c r="AC661" s="78"/>
      <c r="AD661" s="78"/>
      <c r="AE661" s="78"/>
      <c r="AF661" s="78"/>
      <c r="AG661" s="78"/>
      <c r="AH661" s="78"/>
      <c r="AI661" s="78"/>
      <c r="AJ661" s="78"/>
    </row>
    <row r="662" spans="1:36" s="212" customFormat="1" ht="15.75">
      <c r="A662" s="135"/>
      <c r="B662" s="125"/>
      <c r="C662" s="125"/>
      <c r="D662" s="125"/>
      <c r="E662" s="125"/>
      <c r="F662" s="125"/>
      <c r="G662" s="125"/>
      <c r="H662" s="125"/>
      <c r="I662" s="125"/>
      <c r="J662" s="125"/>
      <c r="K662" s="126"/>
      <c r="L662" s="127" t="s">
        <v>86</v>
      </c>
      <c r="M662" s="421">
        <f aca="true" t="shared" si="278" ref="M662:S662">M658</f>
        <v>0</v>
      </c>
      <c r="N662" s="421">
        <f t="shared" si="278"/>
        <v>663.6140420731302</v>
      </c>
      <c r="O662" s="421">
        <f t="shared" si="278"/>
        <v>5000</v>
      </c>
      <c r="P662" s="421">
        <f t="shared" si="278"/>
        <v>663.6140420731302</v>
      </c>
      <c r="Q662" s="421">
        <f t="shared" si="278"/>
        <v>0</v>
      </c>
      <c r="R662" s="421">
        <f t="shared" si="278"/>
        <v>0</v>
      </c>
      <c r="S662" s="421">
        <f t="shared" si="278"/>
        <v>0</v>
      </c>
      <c r="T662" s="421" t="e">
        <f>S662/M662*100</f>
        <v>#DIV/0!</v>
      </c>
      <c r="U662" s="421" t="e">
        <f>S662/R662*100</f>
        <v>#DIV/0!</v>
      </c>
      <c r="V662" s="78"/>
      <c r="W662" s="78"/>
      <c r="X662" s="78"/>
      <c r="Y662" s="78"/>
      <c r="Z662" s="78"/>
      <c r="AA662" s="78"/>
      <c r="AB662" s="78"/>
      <c r="AC662" s="78"/>
      <c r="AD662" s="78"/>
      <c r="AE662" s="78"/>
      <c r="AF662" s="78"/>
      <c r="AG662" s="78"/>
      <c r="AH662" s="78"/>
      <c r="AI662" s="78"/>
      <c r="AJ662" s="78"/>
    </row>
    <row r="663" spans="1:36" s="212" customFormat="1" ht="19.5" customHeight="1">
      <c r="A663" s="238"/>
      <c r="B663" s="38"/>
      <c r="C663" s="38"/>
      <c r="D663" s="38"/>
      <c r="E663" s="38"/>
      <c r="F663" s="38"/>
      <c r="G663" s="38"/>
      <c r="H663" s="38"/>
      <c r="I663" s="38"/>
      <c r="J663" s="38"/>
      <c r="K663" s="31"/>
      <c r="L663" s="58"/>
      <c r="M663" s="429"/>
      <c r="N663" s="429"/>
      <c r="O663" s="429"/>
      <c r="P663" s="429"/>
      <c r="Q663" s="429"/>
      <c r="R663" s="429"/>
      <c r="S663" s="429"/>
      <c r="T663" s="429"/>
      <c r="U663" s="429"/>
      <c r="V663" s="78"/>
      <c r="W663" s="78"/>
      <c r="X663" s="78"/>
      <c r="Y663" s="78"/>
      <c r="Z663" s="78"/>
      <c r="AA663" s="78"/>
      <c r="AB663" s="78"/>
      <c r="AC663" s="78"/>
      <c r="AD663" s="78"/>
      <c r="AE663" s="78"/>
      <c r="AF663" s="78"/>
      <c r="AG663" s="78"/>
      <c r="AH663" s="78"/>
      <c r="AI663" s="78"/>
      <c r="AJ663" s="78"/>
    </row>
    <row r="664" spans="1:28" s="75" customFormat="1" ht="15">
      <c r="A664" s="41" t="s">
        <v>238</v>
      </c>
      <c r="B664" s="41"/>
      <c r="C664" s="41"/>
      <c r="D664" s="41"/>
      <c r="E664" s="41"/>
      <c r="F664" s="41"/>
      <c r="G664" s="41"/>
      <c r="H664" s="41"/>
      <c r="I664" s="41"/>
      <c r="J664" s="41"/>
      <c r="K664" s="41" t="s">
        <v>237</v>
      </c>
      <c r="L664" s="614" t="s">
        <v>614</v>
      </c>
      <c r="M664" s="430"/>
      <c r="N664" s="430"/>
      <c r="O664" s="430"/>
      <c r="P664" s="430"/>
      <c r="Q664" s="430"/>
      <c r="R664" s="430"/>
      <c r="S664" s="430"/>
      <c r="T664" s="430"/>
      <c r="U664" s="430"/>
      <c r="V664" s="78"/>
      <c r="W664" s="78"/>
      <c r="X664" s="78"/>
      <c r="Y664" s="78"/>
      <c r="Z664" s="78"/>
      <c r="AA664" s="78"/>
      <c r="AB664" s="78"/>
    </row>
    <row r="665" spans="1:28" s="75" customFormat="1" ht="15">
      <c r="A665" s="79" t="s">
        <v>572</v>
      </c>
      <c r="B665" s="79"/>
      <c r="C665" s="79"/>
      <c r="D665" s="79"/>
      <c r="E665" s="79"/>
      <c r="F665" s="79"/>
      <c r="G665" s="79"/>
      <c r="H665" s="79"/>
      <c r="I665" s="79"/>
      <c r="J665" s="79"/>
      <c r="K665" s="41" t="s">
        <v>25</v>
      </c>
      <c r="L665" s="618"/>
      <c r="M665" s="430"/>
      <c r="N665" s="430"/>
      <c r="O665" s="430"/>
      <c r="P665" s="430"/>
      <c r="Q665" s="430"/>
      <c r="R665" s="430"/>
      <c r="S665" s="430"/>
      <c r="T665" s="430"/>
      <c r="U665" s="430"/>
      <c r="V665" s="78"/>
      <c r="W665" s="78"/>
      <c r="X665" s="78"/>
      <c r="Y665" s="78"/>
      <c r="Z665" s="78"/>
      <c r="AA665" s="78"/>
      <c r="AB665" s="78"/>
    </row>
    <row r="666" spans="1:28" s="75" customFormat="1" ht="15.75">
      <c r="A666" s="37" t="s">
        <v>572</v>
      </c>
      <c r="B666" s="37">
        <v>1</v>
      </c>
      <c r="C666" s="37"/>
      <c r="D666" s="37">
        <v>3</v>
      </c>
      <c r="E666" s="37"/>
      <c r="F666" s="37"/>
      <c r="G666" s="37"/>
      <c r="H666" s="37"/>
      <c r="I666" s="37"/>
      <c r="J666" s="37">
        <v>1070</v>
      </c>
      <c r="K666" s="272">
        <v>3</v>
      </c>
      <c r="L666" s="273" t="s">
        <v>0</v>
      </c>
      <c r="M666" s="422">
        <f aca="true" t="shared" si="279" ref="M666:S666">M667</f>
        <v>3065.896874377862</v>
      </c>
      <c r="N666" s="422">
        <f t="shared" si="279"/>
        <v>13272.280841462605</v>
      </c>
      <c r="O666" s="437">
        <f t="shared" si="279"/>
        <v>100000</v>
      </c>
      <c r="P666" s="437">
        <f t="shared" si="279"/>
        <v>13272.280841462605</v>
      </c>
      <c r="Q666" s="437">
        <f t="shared" si="279"/>
        <v>0</v>
      </c>
      <c r="R666" s="437">
        <f t="shared" si="279"/>
        <v>0</v>
      </c>
      <c r="S666" s="437">
        <f t="shared" si="279"/>
        <v>0</v>
      </c>
      <c r="T666" s="437">
        <f>S666/M666*100</f>
        <v>0</v>
      </c>
      <c r="U666" s="437" t="e">
        <f>S666/R666*100</f>
        <v>#DIV/0!</v>
      </c>
      <c r="V666" s="78"/>
      <c r="W666" s="78"/>
      <c r="X666" s="78"/>
      <c r="Y666" s="78"/>
      <c r="Z666" s="78"/>
      <c r="AA666" s="78"/>
      <c r="AB666" s="78"/>
    </row>
    <row r="667" spans="1:28" s="75" customFormat="1" ht="18" customHeight="1">
      <c r="A667" s="37" t="s">
        <v>572</v>
      </c>
      <c r="B667" s="37">
        <v>1</v>
      </c>
      <c r="C667" s="37"/>
      <c r="D667" s="37">
        <v>3</v>
      </c>
      <c r="E667" s="37"/>
      <c r="F667" s="37"/>
      <c r="G667" s="37"/>
      <c r="H667" s="37"/>
      <c r="I667" s="37"/>
      <c r="J667" s="37">
        <v>1070</v>
      </c>
      <c r="K667" s="274">
        <v>37</v>
      </c>
      <c r="L667" s="420" t="s">
        <v>613</v>
      </c>
      <c r="M667" s="422">
        <f aca="true" t="shared" si="280" ref="M667:S668">M668</f>
        <v>3065.896874377862</v>
      </c>
      <c r="N667" s="422">
        <f t="shared" si="280"/>
        <v>13272.280841462605</v>
      </c>
      <c r="O667" s="422">
        <f t="shared" si="280"/>
        <v>100000</v>
      </c>
      <c r="P667" s="422">
        <f t="shared" si="280"/>
        <v>13272.280841462605</v>
      </c>
      <c r="Q667" s="422">
        <f t="shared" si="280"/>
        <v>0</v>
      </c>
      <c r="R667" s="422">
        <f t="shared" si="280"/>
        <v>0</v>
      </c>
      <c r="S667" s="422">
        <f t="shared" si="280"/>
        <v>0</v>
      </c>
      <c r="T667" s="437">
        <f>S667/M667*100</f>
        <v>0</v>
      </c>
      <c r="U667" s="437" t="e">
        <f>S667/R667*100</f>
        <v>#DIV/0!</v>
      </c>
      <c r="V667" s="78"/>
      <c r="W667" s="78"/>
      <c r="X667" s="78"/>
      <c r="Y667" s="78"/>
      <c r="Z667" s="78"/>
      <c r="AA667" s="78"/>
      <c r="AB667" s="78"/>
    </row>
    <row r="668" spans="1:28" s="75" customFormat="1" ht="31.5" customHeight="1" hidden="1">
      <c r="A668" s="37" t="s">
        <v>572</v>
      </c>
      <c r="B668" s="37">
        <v>1</v>
      </c>
      <c r="C668" s="37"/>
      <c r="D668" s="37">
        <v>3</v>
      </c>
      <c r="E668" s="37"/>
      <c r="F668" s="37"/>
      <c r="G668" s="37"/>
      <c r="H668" s="37"/>
      <c r="I668" s="37"/>
      <c r="J668" s="37">
        <v>1070</v>
      </c>
      <c r="K668" s="272">
        <v>372</v>
      </c>
      <c r="L668" s="273" t="s">
        <v>35</v>
      </c>
      <c r="M668" s="422">
        <f>M669</f>
        <v>3065.896874377862</v>
      </c>
      <c r="N668" s="422">
        <f t="shared" si="280"/>
        <v>13272.280841462605</v>
      </c>
      <c r="O668" s="422">
        <f t="shared" si="280"/>
        <v>100000</v>
      </c>
      <c r="P668" s="422">
        <f t="shared" si="280"/>
        <v>13272.280841462605</v>
      </c>
      <c r="Q668" s="422">
        <f t="shared" si="280"/>
        <v>0</v>
      </c>
      <c r="R668" s="422"/>
      <c r="S668" s="422"/>
      <c r="T668" s="437">
        <f>S668/M668*100</f>
        <v>0</v>
      </c>
      <c r="U668" s="437" t="e">
        <f>S668/R668*100</f>
        <v>#DIV/0!</v>
      </c>
      <c r="V668" s="78"/>
      <c r="W668" s="78"/>
      <c r="X668" s="78"/>
      <c r="Y668" s="78"/>
      <c r="Z668" s="78"/>
      <c r="AA668" s="78"/>
      <c r="AB668" s="78"/>
    </row>
    <row r="669" spans="1:36" s="128" customFormat="1" ht="27" customHeight="1">
      <c r="A669" s="37" t="s">
        <v>572</v>
      </c>
      <c r="B669" s="37">
        <v>1</v>
      </c>
      <c r="C669" s="37"/>
      <c r="D669" s="37">
        <v>3</v>
      </c>
      <c r="E669" s="37"/>
      <c r="F669" s="37"/>
      <c r="G669" s="37"/>
      <c r="H669" s="37"/>
      <c r="I669" s="37"/>
      <c r="J669" s="37">
        <v>1070</v>
      </c>
      <c r="K669" s="42">
        <v>3721</v>
      </c>
      <c r="L669" s="88" t="s">
        <v>621</v>
      </c>
      <c r="M669" s="424">
        <f>23100/7.5345</f>
        <v>3065.896874377862</v>
      </c>
      <c r="N669" s="424">
        <f>100000/7.5345</f>
        <v>13272.280841462605</v>
      </c>
      <c r="O669" s="424">
        <v>100000</v>
      </c>
      <c r="P669" s="424">
        <f>100000/7.5345</f>
        <v>13272.280841462605</v>
      </c>
      <c r="Q669" s="424">
        <v>0</v>
      </c>
      <c r="R669" s="424"/>
      <c r="S669" s="424"/>
      <c r="T669" s="437">
        <f>S669/M669*100</f>
        <v>0</v>
      </c>
      <c r="U669" s="437" t="e">
        <f>S669/R669*100</f>
        <v>#DIV/0!</v>
      </c>
      <c r="V669" s="78"/>
      <c r="W669" s="78"/>
      <c r="X669" s="78"/>
      <c r="Y669" s="78"/>
      <c r="Z669" s="78"/>
      <c r="AA669" s="78"/>
      <c r="AB669" s="78"/>
      <c r="AC669" s="75"/>
      <c r="AD669" s="75"/>
      <c r="AE669" s="75"/>
      <c r="AF669" s="75"/>
      <c r="AG669" s="75"/>
      <c r="AH669" s="75"/>
      <c r="AI669" s="75"/>
      <c r="AJ669" s="75"/>
    </row>
    <row r="670" spans="1:36" s="212" customFormat="1" ht="15.75">
      <c r="A670" s="135"/>
      <c r="B670" s="125"/>
      <c r="C670" s="125"/>
      <c r="D670" s="125"/>
      <c r="E670" s="125"/>
      <c r="F670" s="125"/>
      <c r="G670" s="125"/>
      <c r="H670" s="125"/>
      <c r="I670" s="125"/>
      <c r="J670" s="125"/>
      <c r="K670" s="126"/>
      <c r="L670" s="127" t="s">
        <v>86</v>
      </c>
      <c r="M670" s="421">
        <f aca="true" t="shared" si="281" ref="M670:S670">M666</f>
        <v>3065.896874377862</v>
      </c>
      <c r="N670" s="421">
        <f t="shared" si="281"/>
        <v>13272.280841462605</v>
      </c>
      <c r="O670" s="421">
        <f t="shared" si="281"/>
        <v>100000</v>
      </c>
      <c r="P670" s="421">
        <f t="shared" si="281"/>
        <v>13272.280841462605</v>
      </c>
      <c r="Q670" s="421">
        <f t="shared" si="281"/>
        <v>0</v>
      </c>
      <c r="R670" s="421">
        <f t="shared" si="281"/>
        <v>0</v>
      </c>
      <c r="S670" s="421">
        <f t="shared" si="281"/>
        <v>0</v>
      </c>
      <c r="T670" s="421">
        <f>S670/M670*100</f>
        <v>0</v>
      </c>
      <c r="U670" s="421" t="e">
        <f>S670/R670*100</f>
        <v>#DIV/0!</v>
      </c>
      <c r="V670" s="78"/>
      <c r="W670" s="78"/>
      <c r="X670" s="78"/>
      <c r="Y670" s="78"/>
      <c r="Z670" s="78"/>
      <c r="AA670" s="78"/>
      <c r="AB670" s="78"/>
      <c r="AC670" s="78"/>
      <c r="AD670" s="78"/>
      <c r="AE670" s="78"/>
      <c r="AF670" s="78"/>
      <c r="AG670" s="78"/>
      <c r="AH670" s="78"/>
      <c r="AI670" s="78"/>
      <c r="AJ670" s="78"/>
    </row>
    <row r="671" spans="1:28" s="75" customFormat="1" ht="15.75">
      <c r="A671" s="238"/>
      <c r="B671" s="38"/>
      <c r="C671" s="38"/>
      <c r="D671" s="38"/>
      <c r="E671" s="38"/>
      <c r="F671" s="38"/>
      <c r="G671" s="38"/>
      <c r="H671" s="38"/>
      <c r="I671" s="38"/>
      <c r="J671" s="38"/>
      <c r="K671" s="31"/>
      <c r="L671" s="58"/>
      <c r="M671" s="429"/>
      <c r="N671" s="429"/>
      <c r="O671" s="429"/>
      <c r="P671" s="429"/>
      <c r="Q671" s="429"/>
      <c r="R671" s="429"/>
      <c r="S671" s="429"/>
      <c r="T671" s="429"/>
      <c r="U671" s="429"/>
      <c r="V671" s="78"/>
      <c r="W671" s="78"/>
      <c r="X671" s="78"/>
      <c r="Y671" s="78"/>
      <c r="Z671" s="78"/>
      <c r="AA671" s="78"/>
      <c r="AB671" s="78"/>
    </row>
    <row r="672" spans="1:28" s="75" customFormat="1" ht="7.5" customHeight="1">
      <c r="A672" s="237"/>
      <c r="B672" s="19"/>
      <c r="C672" s="19"/>
      <c r="D672" s="19"/>
      <c r="E672" s="19"/>
      <c r="F672" s="19"/>
      <c r="G672" s="19"/>
      <c r="H672" s="19"/>
      <c r="I672" s="19"/>
      <c r="J672" s="19"/>
      <c r="K672" s="13"/>
      <c r="L672" s="53"/>
      <c r="M672" s="429"/>
      <c r="N672" s="429"/>
      <c r="O672" s="429"/>
      <c r="P672" s="429"/>
      <c r="Q672" s="429"/>
      <c r="R672" s="429"/>
      <c r="S672" s="429"/>
      <c r="T672" s="429"/>
      <c r="U672" s="429"/>
      <c r="V672" s="78"/>
      <c r="W672" s="78"/>
      <c r="X672" s="78"/>
      <c r="Y672" s="78"/>
      <c r="Z672" s="78"/>
      <c r="AA672" s="78"/>
      <c r="AB672" s="78"/>
    </row>
    <row r="673" spans="1:28" s="75" customFormat="1" ht="58.5" customHeight="1">
      <c r="A673" s="150" t="s">
        <v>479</v>
      </c>
      <c r="B673" s="79"/>
      <c r="C673" s="79"/>
      <c r="D673" s="79"/>
      <c r="E673" s="79"/>
      <c r="F673" s="79"/>
      <c r="G673" s="79"/>
      <c r="H673" s="79"/>
      <c r="I673" s="79"/>
      <c r="J673" s="79">
        <v>1070</v>
      </c>
      <c r="K673" s="41" t="s">
        <v>25</v>
      </c>
      <c r="L673" s="336" t="s">
        <v>559</v>
      </c>
      <c r="M673" s="430"/>
      <c r="N673" s="430"/>
      <c r="O673" s="430"/>
      <c r="P673" s="430"/>
      <c r="Q673" s="430"/>
      <c r="R673" s="430"/>
      <c r="S673" s="430"/>
      <c r="T673" s="430"/>
      <c r="U673" s="430"/>
      <c r="V673" s="78"/>
      <c r="W673" s="78"/>
      <c r="X673" s="78"/>
      <c r="Y673" s="78"/>
      <c r="Z673" s="78"/>
      <c r="AA673" s="78"/>
      <c r="AB673" s="78"/>
    </row>
    <row r="674" spans="1:28" s="75" customFormat="1" ht="15.75">
      <c r="A674" s="37" t="s">
        <v>573</v>
      </c>
      <c r="B674" s="37">
        <v>1</v>
      </c>
      <c r="C674" s="37"/>
      <c r="D674" s="37"/>
      <c r="E674" s="37"/>
      <c r="F674" s="37">
        <v>5</v>
      </c>
      <c r="G674" s="37"/>
      <c r="H674" s="37"/>
      <c r="I674" s="37"/>
      <c r="J674" s="37">
        <v>1070</v>
      </c>
      <c r="K674" s="272">
        <v>3</v>
      </c>
      <c r="L674" s="273" t="s">
        <v>0</v>
      </c>
      <c r="M674" s="422">
        <f aca="true" t="shared" si="282" ref="M674:S674">M675+M680+M693</f>
        <v>0</v>
      </c>
      <c r="N674" s="422">
        <f t="shared" si="282"/>
        <v>63441.502422191246</v>
      </c>
      <c r="O674" s="422">
        <f t="shared" si="282"/>
        <v>63441.502422191246</v>
      </c>
      <c r="P674" s="422">
        <f t="shared" si="282"/>
        <v>63441.502422191246</v>
      </c>
      <c r="Q674" s="422">
        <f t="shared" si="282"/>
        <v>0</v>
      </c>
      <c r="R674" s="422">
        <f t="shared" si="282"/>
        <v>0</v>
      </c>
      <c r="S674" s="422">
        <f t="shared" si="282"/>
        <v>0</v>
      </c>
      <c r="T674" s="437" t="e">
        <f>S674/M674*100</f>
        <v>#DIV/0!</v>
      </c>
      <c r="U674" s="437" t="e">
        <f>S674/R674*100</f>
        <v>#DIV/0!</v>
      </c>
      <c r="V674" s="78"/>
      <c r="W674" s="78"/>
      <c r="X674" s="78"/>
      <c r="Y674" s="78"/>
      <c r="Z674" s="78"/>
      <c r="AA674" s="78"/>
      <c r="AB674" s="78"/>
    </row>
    <row r="675" spans="1:28" s="75" customFormat="1" ht="15">
      <c r="A675" s="37" t="s">
        <v>573</v>
      </c>
      <c r="B675" s="37">
        <v>1</v>
      </c>
      <c r="C675" s="37"/>
      <c r="D675" s="37"/>
      <c r="E675" s="37"/>
      <c r="F675" s="37">
        <v>5</v>
      </c>
      <c r="G675" s="37"/>
      <c r="H675" s="37"/>
      <c r="I675" s="37"/>
      <c r="J675" s="37">
        <v>1070</v>
      </c>
      <c r="K675" s="272">
        <v>31</v>
      </c>
      <c r="L675" s="278" t="s">
        <v>2</v>
      </c>
      <c r="M675" s="422">
        <f aca="true" t="shared" si="283" ref="M675:S675">M676+M678</f>
        <v>0</v>
      </c>
      <c r="N675" s="422">
        <f t="shared" si="283"/>
        <v>35835.15827194903</v>
      </c>
      <c r="O675" s="422">
        <f t="shared" si="283"/>
        <v>35835.15827194903</v>
      </c>
      <c r="P675" s="422">
        <f t="shared" si="283"/>
        <v>35835.15827194903</v>
      </c>
      <c r="Q675" s="422">
        <f t="shared" si="283"/>
        <v>0</v>
      </c>
      <c r="R675" s="422">
        <f t="shared" si="283"/>
        <v>0</v>
      </c>
      <c r="S675" s="422">
        <f t="shared" si="283"/>
        <v>0</v>
      </c>
      <c r="T675" s="437" t="e">
        <f aca="true" t="shared" si="284" ref="T675:T696">S675/M675*100</f>
        <v>#DIV/0!</v>
      </c>
      <c r="U675" s="437" t="e">
        <f aca="true" t="shared" si="285" ref="U675:U696">S675/R675*100</f>
        <v>#DIV/0!</v>
      </c>
      <c r="V675" s="78"/>
      <c r="W675" s="78"/>
      <c r="X675" s="78"/>
      <c r="Y675" s="78"/>
      <c r="Z675" s="78"/>
      <c r="AA675" s="78"/>
      <c r="AB675" s="78"/>
    </row>
    <row r="676" spans="1:28" s="75" customFormat="1" ht="28.5" customHeight="1">
      <c r="A676" s="37" t="s">
        <v>573</v>
      </c>
      <c r="B676" s="37">
        <v>1</v>
      </c>
      <c r="C676" s="37"/>
      <c r="D676" s="37"/>
      <c r="E676" s="37"/>
      <c r="F676" s="37">
        <v>5</v>
      </c>
      <c r="G676" s="37"/>
      <c r="H676" s="37"/>
      <c r="I676" s="37"/>
      <c r="J676" s="37">
        <v>1070</v>
      </c>
      <c r="K676" s="272">
        <v>311</v>
      </c>
      <c r="L676" s="273" t="s">
        <v>251</v>
      </c>
      <c r="M676" s="422">
        <f aca="true" t="shared" si="286" ref="M676:S676">M677</f>
        <v>0</v>
      </c>
      <c r="N676" s="422">
        <f t="shared" si="286"/>
        <v>26544.56168292521</v>
      </c>
      <c r="O676" s="422">
        <f t="shared" si="286"/>
        <v>26544.56168292521</v>
      </c>
      <c r="P676" s="422">
        <f t="shared" si="286"/>
        <v>26544.56168292521</v>
      </c>
      <c r="Q676" s="422">
        <f t="shared" si="286"/>
        <v>0</v>
      </c>
      <c r="R676" s="422">
        <f t="shared" si="286"/>
        <v>0</v>
      </c>
      <c r="S676" s="422">
        <f t="shared" si="286"/>
        <v>0</v>
      </c>
      <c r="T676" s="437" t="e">
        <f t="shared" si="284"/>
        <v>#DIV/0!</v>
      </c>
      <c r="U676" s="437" t="e">
        <f t="shared" si="285"/>
        <v>#DIV/0!</v>
      </c>
      <c r="V676" s="78"/>
      <c r="W676" s="78"/>
      <c r="X676" s="78"/>
      <c r="Y676" s="78"/>
      <c r="Z676" s="78"/>
      <c r="AA676" s="78"/>
      <c r="AB676" s="78"/>
    </row>
    <row r="677" spans="1:28" s="75" customFormat="1" ht="25.5" customHeight="1">
      <c r="A677" s="37" t="s">
        <v>573</v>
      </c>
      <c r="B677" s="37">
        <v>1</v>
      </c>
      <c r="C677" s="37"/>
      <c r="D677" s="37"/>
      <c r="E677" s="37"/>
      <c r="F677" s="37">
        <v>5</v>
      </c>
      <c r="G677" s="37"/>
      <c r="H677" s="37"/>
      <c r="I677" s="37"/>
      <c r="J677" s="37">
        <v>1070</v>
      </c>
      <c r="K677" s="42">
        <v>3111</v>
      </c>
      <c r="L677" s="88" t="s">
        <v>58</v>
      </c>
      <c r="M677" s="422">
        <v>0</v>
      </c>
      <c r="N677" s="422">
        <f>200000/7.5345</f>
        <v>26544.56168292521</v>
      </c>
      <c r="O677" s="422">
        <f>200000/7.5345</f>
        <v>26544.56168292521</v>
      </c>
      <c r="P677" s="422">
        <f>200000/7.5345</f>
        <v>26544.56168292521</v>
      </c>
      <c r="Q677" s="422">
        <v>0</v>
      </c>
      <c r="R677" s="422"/>
      <c r="S677" s="422"/>
      <c r="T677" s="437" t="e">
        <f t="shared" si="284"/>
        <v>#DIV/0!</v>
      </c>
      <c r="U677" s="437" t="e">
        <f t="shared" si="285"/>
        <v>#DIV/0!</v>
      </c>
      <c r="V677" s="78"/>
      <c r="W677" s="78"/>
      <c r="X677" s="78"/>
      <c r="Y677" s="78"/>
      <c r="Z677" s="78"/>
      <c r="AA677" s="78"/>
      <c r="AB677" s="78"/>
    </row>
    <row r="678" spans="1:28" s="75" customFormat="1" ht="30" customHeight="1">
      <c r="A678" s="37" t="s">
        <v>573</v>
      </c>
      <c r="B678" s="37">
        <v>1</v>
      </c>
      <c r="C678" s="37"/>
      <c r="D678" s="37"/>
      <c r="E678" s="37"/>
      <c r="F678" s="37">
        <v>5</v>
      </c>
      <c r="G678" s="37"/>
      <c r="H678" s="37"/>
      <c r="I678" s="37"/>
      <c r="J678" s="37">
        <v>1070</v>
      </c>
      <c r="K678" s="272">
        <v>313</v>
      </c>
      <c r="L678" s="273" t="s">
        <v>4</v>
      </c>
      <c r="M678" s="422">
        <f aca="true" t="shared" si="287" ref="M678:S678">M679</f>
        <v>0</v>
      </c>
      <c r="N678" s="422">
        <f t="shared" si="287"/>
        <v>9290.596589023824</v>
      </c>
      <c r="O678" s="422">
        <f t="shared" si="287"/>
        <v>9290.596589023824</v>
      </c>
      <c r="P678" s="422">
        <f t="shared" si="287"/>
        <v>9290.596589023824</v>
      </c>
      <c r="Q678" s="422">
        <f t="shared" si="287"/>
        <v>0</v>
      </c>
      <c r="R678" s="422">
        <f t="shared" si="287"/>
        <v>0</v>
      </c>
      <c r="S678" s="422">
        <f t="shared" si="287"/>
        <v>0</v>
      </c>
      <c r="T678" s="437" t="e">
        <f t="shared" si="284"/>
        <v>#DIV/0!</v>
      </c>
      <c r="U678" s="437" t="e">
        <f t="shared" si="285"/>
        <v>#DIV/0!</v>
      </c>
      <c r="V678" s="78"/>
      <c r="W678" s="78"/>
      <c r="X678" s="78"/>
      <c r="Y678" s="78"/>
      <c r="Z678" s="78"/>
      <c r="AA678" s="78"/>
      <c r="AB678" s="78"/>
    </row>
    <row r="679" spans="1:28" s="75" customFormat="1" ht="24" customHeight="1">
      <c r="A679" s="37" t="s">
        <v>573</v>
      </c>
      <c r="B679" s="37">
        <v>1</v>
      </c>
      <c r="C679" s="37"/>
      <c r="D679" s="37"/>
      <c r="E679" s="37"/>
      <c r="F679" s="37">
        <v>5</v>
      </c>
      <c r="G679" s="37"/>
      <c r="H679" s="37"/>
      <c r="I679" s="37"/>
      <c r="J679" s="37">
        <v>1070</v>
      </c>
      <c r="K679" s="42">
        <v>3132</v>
      </c>
      <c r="L679" s="88" t="s">
        <v>208</v>
      </c>
      <c r="M679" s="422">
        <v>0</v>
      </c>
      <c r="N679" s="422">
        <f>70000/7.5345</f>
        <v>9290.596589023824</v>
      </c>
      <c r="O679" s="422">
        <f>70000/7.5345</f>
        <v>9290.596589023824</v>
      </c>
      <c r="P679" s="422">
        <f>70000/7.5345</f>
        <v>9290.596589023824</v>
      </c>
      <c r="Q679" s="422">
        <v>0</v>
      </c>
      <c r="R679" s="422"/>
      <c r="S679" s="422"/>
      <c r="T679" s="437" t="e">
        <f t="shared" si="284"/>
        <v>#DIV/0!</v>
      </c>
      <c r="U679" s="437" t="e">
        <f t="shared" si="285"/>
        <v>#DIV/0!</v>
      </c>
      <c r="V679" s="78"/>
      <c r="W679" s="78"/>
      <c r="X679" s="78"/>
      <c r="Y679" s="78"/>
      <c r="Z679" s="78"/>
      <c r="AA679" s="78"/>
      <c r="AB679" s="78"/>
    </row>
    <row r="680" spans="1:28" s="75" customFormat="1" ht="18" customHeight="1">
      <c r="A680" s="37" t="s">
        <v>573</v>
      </c>
      <c r="B680" s="37">
        <v>1</v>
      </c>
      <c r="C680" s="37"/>
      <c r="D680" s="37"/>
      <c r="E680" s="37"/>
      <c r="F680" s="37">
        <v>5</v>
      </c>
      <c r="G680" s="37"/>
      <c r="H680" s="37"/>
      <c r="I680" s="37"/>
      <c r="J680" s="37">
        <v>1070</v>
      </c>
      <c r="K680" s="272">
        <v>32</v>
      </c>
      <c r="L680" s="273" t="s">
        <v>5</v>
      </c>
      <c r="M680" s="422">
        <f aca="true" t="shared" si="288" ref="M680:S680">M681+M683+M687+M692</f>
        <v>0</v>
      </c>
      <c r="N680" s="422">
        <f t="shared" si="288"/>
        <v>22297.43181365718</v>
      </c>
      <c r="O680" s="422">
        <f t="shared" si="288"/>
        <v>22297.43181365718</v>
      </c>
      <c r="P680" s="422">
        <f t="shared" si="288"/>
        <v>22297.43181365718</v>
      </c>
      <c r="Q680" s="422">
        <f t="shared" si="288"/>
        <v>0</v>
      </c>
      <c r="R680" s="422">
        <f t="shared" si="288"/>
        <v>0</v>
      </c>
      <c r="S680" s="422">
        <f t="shared" si="288"/>
        <v>0</v>
      </c>
      <c r="T680" s="437" t="e">
        <f t="shared" si="284"/>
        <v>#DIV/0!</v>
      </c>
      <c r="U680" s="437" t="e">
        <f t="shared" si="285"/>
        <v>#DIV/0!</v>
      </c>
      <c r="V680" s="78"/>
      <c r="W680" s="78"/>
      <c r="X680" s="78"/>
      <c r="Y680" s="78"/>
      <c r="Z680" s="78"/>
      <c r="AA680" s="78"/>
      <c r="AB680" s="78"/>
    </row>
    <row r="681" spans="1:28" s="75" customFormat="1" ht="24.75" customHeight="1">
      <c r="A681" s="37" t="s">
        <v>573</v>
      </c>
      <c r="B681" s="37">
        <v>1</v>
      </c>
      <c r="C681" s="37"/>
      <c r="D681" s="37"/>
      <c r="E681" s="37"/>
      <c r="F681" s="37">
        <v>5</v>
      </c>
      <c r="G681" s="37"/>
      <c r="H681" s="37"/>
      <c r="I681" s="37"/>
      <c r="J681" s="37">
        <v>1070</v>
      </c>
      <c r="K681" s="272">
        <v>321</v>
      </c>
      <c r="L681" s="273" t="s">
        <v>6</v>
      </c>
      <c r="M681" s="422">
        <f aca="true" t="shared" si="289" ref="M681:S681">M682</f>
        <v>0</v>
      </c>
      <c r="N681" s="422">
        <f t="shared" si="289"/>
        <v>6636.140420731303</v>
      </c>
      <c r="O681" s="422">
        <f t="shared" si="289"/>
        <v>6636.140420731303</v>
      </c>
      <c r="P681" s="422">
        <f t="shared" si="289"/>
        <v>6636.140420731303</v>
      </c>
      <c r="Q681" s="422">
        <f t="shared" si="289"/>
        <v>0</v>
      </c>
      <c r="R681" s="422">
        <f t="shared" si="289"/>
        <v>0</v>
      </c>
      <c r="S681" s="422">
        <f t="shared" si="289"/>
        <v>0</v>
      </c>
      <c r="T681" s="437" t="e">
        <f t="shared" si="284"/>
        <v>#DIV/0!</v>
      </c>
      <c r="U681" s="437" t="e">
        <f t="shared" si="285"/>
        <v>#DIV/0!</v>
      </c>
      <c r="V681" s="78"/>
      <c r="W681" s="78"/>
      <c r="X681" s="78"/>
      <c r="Y681" s="78"/>
      <c r="Z681" s="78"/>
      <c r="AA681" s="78"/>
      <c r="AB681" s="78"/>
    </row>
    <row r="682" spans="1:28" s="75" customFormat="1" ht="35.25" customHeight="1">
      <c r="A682" s="37" t="s">
        <v>573</v>
      </c>
      <c r="B682" s="37">
        <v>1</v>
      </c>
      <c r="C682" s="37"/>
      <c r="D682" s="37"/>
      <c r="E682" s="37"/>
      <c r="F682" s="37">
        <v>5</v>
      </c>
      <c r="G682" s="37"/>
      <c r="H682" s="37"/>
      <c r="I682" s="37"/>
      <c r="J682" s="37">
        <v>1070</v>
      </c>
      <c r="K682" s="42">
        <v>3212</v>
      </c>
      <c r="L682" s="88" t="s">
        <v>60</v>
      </c>
      <c r="M682" s="422">
        <v>0</v>
      </c>
      <c r="N682" s="422">
        <f>50000/7.5345</f>
        <v>6636.140420731303</v>
      </c>
      <c r="O682" s="422">
        <f>50000/7.5345</f>
        <v>6636.140420731303</v>
      </c>
      <c r="P682" s="422">
        <f>50000/7.5345</f>
        <v>6636.140420731303</v>
      </c>
      <c r="Q682" s="422">
        <v>0</v>
      </c>
      <c r="R682" s="422"/>
      <c r="S682" s="422"/>
      <c r="T682" s="437" t="e">
        <f t="shared" si="284"/>
        <v>#DIV/0!</v>
      </c>
      <c r="U682" s="437" t="e">
        <f t="shared" si="285"/>
        <v>#DIV/0!</v>
      </c>
      <c r="V682" s="78"/>
      <c r="W682" s="78"/>
      <c r="X682" s="78"/>
      <c r="Y682" s="78"/>
      <c r="Z682" s="78"/>
      <c r="AA682" s="78"/>
      <c r="AB682" s="78"/>
    </row>
    <row r="683" spans="1:28" s="75" customFormat="1" ht="31.5" customHeight="1">
      <c r="A683" s="37" t="s">
        <v>573</v>
      </c>
      <c r="B683" s="37">
        <v>1</v>
      </c>
      <c r="C683" s="37"/>
      <c r="D683" s="37"/>
      <c r="E683" s="37"/>
      <c r="F683" s="37">
        <v>5</v>
      </c>
      <c r="G683" s="37"/>
      <c r="H683" s="37"/>
      <c r="I683" s="37"/>
      <c r="J683" s="37">
        <v>1070</v>
      </c>
      <c r="K683" s="272">
        <v>322</v>
      </c>
      <c r="L683" s="273" t="s">
        <v>26</v>
      </c>
      <c r="M683" s="422">
        <f aca="true" t="shared" si="290" ref="M683:S683">M684+M685+M686</f>
        <v>0</v>
      </c>
      <c r="N683" s="422">
        <f t="shared" si="290"/>
        <v>2654.456168292521</v>
      </c>
      <c r="O683" s="422">
        <f t="shared" si="290"/>
        <v>2654.456168292521</v>
      </c>
      <c r="P683" s="422">
        <f t="shared" si="290"/>
        <v>2654.456168292521</v>
      </c>
      <c r="Q683" s="422">
        <f t="shared" si="290"/>
        <v>0</v>
      </c>
      <c r="R683" s="422">
        <f t="shared" si="290"/>
        <v>0</v>
      </c>
      <c r="S683" s="422">
        <f t="shared" si="290"/>
        <v>0</v>
      </c>
      <c r="T683" s="437" t="e">
        <f t="shared" si="284"/>
        <v>#DIV/0!</v>
      </c>
      <c r="U683" s="437" t="e">
        <f t="shared" si="285"/>
        <v>#DIV/0!</v>
      </c>
      <c r="V683" s="78"/>
      <c r="W683" s="78"/>
      <c r="X683" s="78"/>
      <c r="Y683" s="78"/>
      <c r="Z683" s="78"/>
      <c r="AA683" s="78"/>
      <c r="AB683" s="78"/>
    </row>
    <row r="684" spans="1:28" s="75" customFormat="1" ht="33.75" customHeight="1">
      <c r="A684" s="37" t="s">
        <v>573</v>
      </c>
      <c r="B684" s="37">
        <v>1</v>
      </c>
      <c r="C684" s="37"/>
      <c r="D684" s="37"/>
      <c r="E684" s="37"/>
      <c r="F684" s="37">
        <v>5</v>
      </c>
      <c r="G684" s="37"/>
      <c r="H684" s="37"/>
      <c r="I684" s="37"/>
      <c r="J684" s="37">
        <v>1070</v>
      </c>
      <c r="K684" s="42">
        <v>3221</v>
      </c>
      <c r="L684" s="332" t="s">
        <v>392</v>
      </c>
      <c r="M684" s="422">
        <v>0</v>
      </c>
      <c r="N684" s="422">
        <f>15000/7.5345</f>
        <v>1990.8421262193906</v>
      </c>
      <c r="O684" s="422">
        <f>15000/7.5345</f>
        <v>1990.8421262193906</v>
      </c>
      <c r="P684" s="422">
        <f>15000/7.5345</f>
        <v>1990.8421262193906</v>
      </c>
      <c r="Q684" s="422">
        <v>0</v>
      </c>
      <c r="R684" s="422"/>
      <c r="S684" s="422"/>
      <c r="T684" s="437" t="e">
        <f t="shared" si="284"/>
        <v>#DIV/0!</v>
      </c>
      <c r="U684" s="437" t="e">
        <f t="shared" si="285"/>
        <v>#DIV/0!</v>
      </c>
      <c r="V684" s="78"/>
      <c r="W684" s="78"/>
      <c r="X684" s="78"/>
      <c r="Y684" s="78"/>
      <c r="Z684" s="78"/>
      <c r="AA684" s="78"/>
      <c r="AB684" s="78"/>
    </row>
    <row r="685" spans="1:28" s="75" customFormat="1" ht="34.5" customHeight="1">
      <c r="A685" s="37" t="s">
        <v>573</v>
      </c>
      <c r="B685" s="37">
        <v>1</v>
      </c>
      <c r="C685" s="37"/>
      <c r="D685" s="37"/>
      <c r="E685" s="37"/>
      <c r="F685" s="37">
        <v>5</v>
      </c>
      <c r="G685" s="37"/>
      <c r="H685" s="37"/>
      <c r="I685" s="37"/>
      <c r="J685" s="37">
        <v>1070</v>
      </c>
      <c r="K685" s="42">
        <v>3223</v>
      </c>
      <c r="L685" s="88" t="s">
        <v>425</v>
      </c>
      <c r="M685" s="422">
        <v>0</v>
      </c>
      <c r="N685" s="422">
        <f>5000/7.5345</f>
        <v>663.6140420731302</v>
      </c>
      <c r="O685" s="422">
        <f>5000/7.5345</f>
        <v>663.6140420731302</v>
      </c>
      <c r="P685" s="422">
        <f>5000/7.5345</f>
        <v>663.6140420731302</v>
      </c>
      <c r="Q685" s="422">
        <v>0</v>
      </c>
      <c r="R685" s="422"/>
      <c r="S685" s="422"/>
      <c r="T685" s="437" t="e">
        <f t="shared" si="284"/>
        <v>#DIV/0!</v>
      </c>
      <c r="U685" s="437" t="e">
        <f t="shared" si="285"/>
        <v>#DIV/0!</v>
      </c>
      <c r="V685" s="78"/>
      <c r="W685" s="78"/>
      <c r="X685" s="78"/>
      <c r="Y685" s="78"/>
      <c r="Z685" s="78"/>
      <c r="AA685" s="78"/>
      <c r="AB685" s="78"/>
    </row>
    <row r="686" spans="1:28" s="75" customFormat="1" ht="31.5" customHeight="1">
      <c r="A686" s="37" t="s">
        <v>573</v>
      </c>
      <c r="B686" s="37">
        <v>1</v>
      </c>
      <c r="C686" s="37"/>
      <c r="D686" s="37"/>
      <c r="E686" s="37"/>
      <c r="F686" s="37">
        <v>5</v>
      </c>
      <c r="G686" s="37"/>
      <c r="H686" s="37"/>
      <c r="I686" s="37"/>
      <c r="J686" s="37">
        <v>1012</v>
      </c>
      <c r="K686" s="42">
        <v>3225</v>
      </c>
      <c r="L686" s="88" t="s">
        <v>64</v>
      </c>
      <c r="M686" s="422">
        <v>0</v>
      </c>
      <c r="N686" s="422">
        <v>0</v>
      </c>
      <c r="O686" s="422">
        <v>0</v>
      </c>
      <c r="P686" s="422">
        <v>0</v>
      </c>
      <c r="Q686" s="422">
        <v>0</v>
      </c>
      <c r="R686" s="422"/>
      <c r="S686" s="422"/>
      <c r="T686" s="437" t="e">
        <f t="shared" si="284"/>
        <v>#DIV/0!</v>
      </c>
      <c r="U686" s="437" t="e">
        <f t="shared" si="285"/>
        <v>#DIV/0!</v>
      </c>
      <c r="V686" s="78"/>
      <c r="W686" s="78"/>
      <c r="X686" s="78"/>
      <c r="Y686" s="78"/>
      <c r="Z686" s="78"/>
      <c r="AA686" s="78"/>
      <c r="AB686" s="78"/>
    </row>
    <row r="687" spans="1:28" s="75" customFormat="1" ht="33.75" customHeight="1">
      <c r="A687" s="37" t="s">
        <v>573</v>
      </c>
      <c r="B687" s="37">
        <v>1</v>
      </c>
      <c r="C687" s="37"/>
      <c r="D687" s="37"/>
      <c r="E687" s="37"/>
      <c r="F687" s="37">
        <v>5</v>
      </c>
      <c r="G687" s="37"/>
      <c r="H687" s="37"/>
      <c r="I687" s="37"/>
      <c r="J687" s="37">
        <v>1070</v>
      </c>
      <c r="K687" s="272">
        <v>323</v>
      </c>
      <c r="L687" s="273" t="s">
        <v>7</v>
      </c>
      <c r="M687" s="422">
        <f aca="true" t="shared" si="291" ref="M687:S687">M688+M689+M690+M691</f>
        <v>0</v>
      </c>
      <c r="N687" s="422">
        <f t="shared" si="291"/>
        <v>7697.922888048311</v>
      </c>
      <c r="O687" s="422">
        <f t="shared" si="291"/>
        <v>7697.922888048311</v>
      </c>
      <c r="P687" s="422">
        <f t="shared" si="291"/>
        <v>7697.922888048311</v>
      </c>
      <c r="Q687" s="422">
        <f t="shared" si="291"/>
        <v>0</v>
      </c>
      <c r="R687" s="422">
        <f t="shared" si="291"/>
        <v>0</v>
      </c>
      <c r="S687" s="422">
        <f t="shared" si="291"/>
        <v>0</v>
      </c>
      <c r="T687" s="437" t="e">
        <f t="shared" si="284"/>
        <v>#DIV/0!</v>
      </c>
      <c r="U687" s="437" t="e">
        <f t="shared" si="285"/>
        <v>#DIV/0!</v>
      </c>
      <c r="V687" s="78"/>
      <c r="W687" s="78"/>
      <c r="X687" s="78"/>
      <c r="Y687" s="78"/>
      <c r="Z687" s="78"/>
      <c r="AA687" s="78"/>
      <c r="AB687" s="78"/>
    </row>
    <row r="688" spans="1:28" s="75" customFormat="1" ht="33.75" customHeight="1">
      <c r="A688" s="37" t="s">
        <v>573</v>
      </c>
      <c r="B688" s="37">
        <v>1</v>
      </c>
      <c r="C688" s="37"/>
      <c r="D688" s="37"/>
      <c r="E688" s="37"/>
      <c r="F688" s="37">
        <v>5</v>
      </c>
      <c r="G688" s="37"/>
      <c r="H688" s="37"/>
      <c r="I688" s="37"/>
      <c r="J688" s="37">
        <v>1012</v>
      </c>
      <c r="K688" s="42">
        <v>3233</v>
      </c>
      <c r="L688" s="88" t="s">
        <v>56</v>
      </c>
      <c r="M688" s="422">
        <v>0</v>
      </c>
      <c r="N688" s="422">
        <f>3000/7.5345</f>
        <v>398.1684252438781</v>
      </c>
      <c r="O688" s="422">
        <f>3000/7.5345</f>
        <v>398.1684252438781</v>
      </c>
      <c r="P688" s="422">
        <f>3000/7.5345</f>
        <v>398.1684252438781</v>
      </c>
      <c r="Q688" s="422">
        <v>0</v>
      </c>
      <c r="R688" s="422"/>
      <c r="S688" s="422"/>
      <c r="T688" s="437" t="e">
        <f t="shared" si="284"/>
        <v>#DIV/0!</v>
      </c>
      <c r="U688" s="437" t="e">
        <f t="shared" si="285"/>
        <v>#DIV/0!</v>
      </c>
      <c r="V688" s="78"/>
      <c r="W688" s="78"/>
      <c r="X688" s="78"/>
      <c r="Y688" s="78"/>
      <c r="Z688" s="78"/>
      <c r="AA688" s="78"/>
      <c r="AB688" s="78"/>
    </row>
    <row r="689" spans="1:28" s="75" customFormat="1" ht="33" customHeight="1">
      <c r="A689" s="37" t="s">
        <v>573</v>
      </c>
      <c r="B689" s="37">
        <v>1</v>
      </c>
      <c r="C689" s="37"/>
      <c r="D689" s="37"/>
      <c r="E689" s="37"/>
      <c r="F689" s="37">
        <v>5</v>
      </c>
      <c r="G689" s="37"/>
      <c r="H689" s="37"/>
      <c r="I689" s="37"/>
      <c r="J689" s="37">
        <v>1012</v>
      </c>
      <c r="K689" s="42">
        <v>3236</v>
      </c>
      <c r="L689" s="88" t="s">
        <v>79</v>
      </c>
      <c r="M689" s="422">
        <v>0</v>
      </c>
      <c r="N689" s="422">
        <v>0</v>
      </c>
      <c r="O689" s="422">
        <v>0</v>
      </c>
      <c r="P689" s="422">
        <v>0</v>
      </c>
      <c r="Q689" s="422">
        <v>0</v>
      </c>
      <c r="R689" s="422"/>
      <c r="S689" s="422"/>
      <c r="T689" s="437" t="e">
        <f t="shared" si="284"/>
        <v>#DIV/0!</v>
      </c>
      <c r="U689" s="437" t="e">
        <f t="shared" si="285"/>
        <v>#DIV/0!</v>
      </c>
      <c r="V689" s="78"/>
      <c r="W689" s="78"/>
      <c r="X689" s="78"/>
      <c r="Y689" s="78"/>
      <c r="Z689" s="78"/>
      <c r="AA689" s="78"/>
      <c r="AB689" s="78"/>
    </row>
    <row r="690" spans="1:28" s="75" customFormat="1" ht="30" customHeight="1">
      <c r="A690" s="37" t="s">
        <v>573</v>
      </c>
      <c r="B690" s="37">
        <v>1</v>
      </c>
      <c r="C690" s="37"/>
      <c r="D690" s="37"/>
      <c r="E690" s="37"/>
      <c r="F690" s="37">
        <v>5</v>
      </c>
      <c r="G690" s="37"/>
      <c r="H690" s="37"/>
      <c r="I690" s="37"/>
      <c r="J690" s="37">
        <v>1070</v>
      </c>
      <c r="K690" s="42">
        <v>3232</v>
      </c>
      <c r="L690" s="88" t="s">
        <v>396</v>
      </c>
      <c r="M690" s="428">
        <v>0</v>
      </c>
      <c r="N690" s="428">
        <f>15000/7.5345</f>
        <v>1990.8421262193906</v>
      </c>
      <c r="O690" s="428">
        <f>15000/7.5345</f>
        <v>1990.8421262193906</v>
      </c>
      <c r="P690" s="428">
        <f>15000/7.5345</f>
        <v>1990.8421262193906</v>
      </c>
      <c r="Q690" s="428">
        <v>0</v>
      </c>
      <c r="R690" s="428"/>
      <c r="S690" s="428"/>
      <c r="T690" s="437" t="e">
        <f t="shared" si="284"/>
        <v>#DIV/0!</v>
      </c>
      <c r="U690" s="437" t="e">
        <f t="shared" si="285"/>
        <v>#DIV/0!</v>
      </c>
      <c r="V690" s="78"/>
      <c r="W690" s="78"/>
      <c r="X690" s="78"/>
      <c r="Y690" s="78"/>
      <c r="Z690" s="78"/>
      <c r="AA690" s="78"/>
      <c r="AB690" s="78"/>
    </row>
    <row r="691" spans="1:28" s="75" customFormat="1" ht="30" customHeight="1">
      <c r="A691" s="37" t="s">
        <v>573</v>
      </c>
      <c r="B691" s="37">
        <v>1</v>
      </c>
      <c r="C691" s="37"/>
      <c r="D691" s="37"/>
      <c r="E691" s="37"/>
      <c r="F691" s="37">
        <v>5</v>
      </c>
      <c r="G691" s="37"/>
      <c r="H691" s="37"/>
      <c r="I691" s="37"/>
      <c r="J691" s="37">
        <v>1070</v>
      </c>
      <c r="K691" s="42">
        <v>3232</v>
      </c>
      <c r="L691" s="88" t="s">
        <v>56</v>
      </c>
      <c r="M691" s="428">
        <v>0</v>
      </c>
      <c r="N691" s="428">
        <f aca="true" t="shared" si="292" ref="N691:P692">40000/7.5345</f>
        <v>5308.912336585042</v>
      </c>
      <c r="O691" s="428">
        <f t="shared" si="292"/>
        <v>5308.912336585042</v>
      </c>
      <c r="P691" s="428">
        <f t="shared" si="292"/>
        <v>5308.912336585042</v>
      </c>
      <c r="Q691" s="428">
        <v>0</v>
      </c>
      <c r="R691" s="428"/>
      <c r="S691" s="428"/>
      <c r="T691" s="437" t="e">
        <f t="shared" si="284"/>
        <v>#DIV/0!</v>
      </c>
      <c r="U691" s="437" t="e">
        <f t="shared" si="285"/>
        <v>#DIV/0!</v>
      </c>
      <c r="V691" s="78"/>
      <c r="W691" s="78"/>
      <c r="X691" s="78"/>
      <c r="Y691" s="78"/>
      <c r="Z691" s="78"/>
      <c r="AA691" s="78"/>
      <c r="AB691" s="78"/>
    </row>
    <row r="692" spans="1:28" s="75" customFormat="1" ht="26.25" customHeight="1">
      <c r="A692" s="37" t="s">
        <v>573</v>
      </c>
      <c r="B692" s="37">
        <v>1</v>
      </c>
      <c r="C692" s="37"/>
      <c r="D692" s="37"/>
      <c r="E692" s="37"/>
      <c r="F692" s="37">
        <v>5</v>
      </c>
      <c r="G692" s="37"/>
      <c r="H692" s="37"/>
      <c r="I692" s="37"/>
      <c r="J692" s="37">
        <v>1070</v>
      </c>
      <c r="K692" s="35">
        <v>329</v>
      </c>
      <c r="L692" s="332" t="s">
        <v>395</v>
      </c>
      <c r="M692" s="428">
        <v>0</v>
      </c>
      <c r="N692" s="428">
        <f t="shared" si="292"/>
        <v>5308.912336585042</v>
      </c>
      <c r="O692" s="428">
        <f t="shared" si="292"/>
        <v>5308.912336585042</v>
      </c>
      <c r="P692" s="428">
        <f t="shared" si="292"/>
        <v>5308.912336585042</v>
      </c>
      <c r="Q692" s="428">
        <v>0</v>
      </c>
      <c r="R692" s="428"/>
      <c r="S692" s="428"/>
      <c r="T692" s="437" t="e">
        <f t="shared" si="284"/>
        <v>#DIV/0!</v>
      </c>
      <c r="U692" s="437" t="e">
        <f t="shared" si="285"/>
        <v>#DIV/0!</v>
      </c>
      <c r="V692" s="78"/>
      <c r="W692" s="78"/>
      <c r="X692" s="78"/>
      <c r="Y692" s="78"/>
      <c r="Z692" s="78"/>
      <c r="AA692" s="78"/>
      <c r="AB692" s="78"/>
    </row>
    <row r="693" spans="1:28" s="75" customFormat="1" ht="27" customHeight="1">
      <c r="A693" s="37" t="s">
        <v>573</v>
      </c>
      <c r="B693" s="37">
        <v>1</v>
      </c>
      <c r="C693" s="37"/>
      <c r="D693" s="37"/>
      <c r="E693" s="37"/>
      <c r="F693" s="37">
        <v>5</v>
      </c>
      <c r="G693" s="37"/>
      <c r="H693" s="37"/>
      <c r="I693" s="37"/>
      <c r="J693" s="37">
        <v>1070</v>
      </c>
      <c r="K693" s="272">
        <v>38</v>
      </c>
      <c r="L693" s="273" t="s">
        <v>77</v>
      </c>
      <c r="M693" s="428">
        <f aca="true" t="shared" si="293" ref="M693:S694">M694</f>
        <v>0</v>
      </c>
      <c r="N693" s="428">
        <f t="shared" si="293"/>
        <v>5308.912336585042</v>
      </c>
      <c r="O693" s="428">
        <f t="shared" si="293"/>
        <v>5308.912336585042</v>
      </c>
      <c r="P693" s="428">
        <f t="shared" si="293"/>
        <v>5308.912336585042</v>
      </c>
      <c r="Q693" s="428">
        <f t="shared" si="293"/>
        <v>0</v>
      </c>
      <c r="R693" s="428">
        <f t="shared" si="293"/>
        <v>0</v>
      </c>
      <c r="S693" s="428">
        <f t="shared" si="293"/>
        <v>0</v>
      </c>
      <c r="T693" s="437" t="e">
        <f t="shared" si="284"/>
        <v>#DIV/0!</v>
      </c>
      <c r="U693" s="437" t="e">
        <f t="shared" si="285"/>
        <v>#DIV/0!</v>
      </c>
      <c r="V693" s="78"/>
      <c r="W693" s="78"/>
      <c r="X693" s="78"/>
      <c r="Y693" s="78"/>
      <c r="Z693" s="78"/>
      <c r="AA693" s="78"/>
      <c r="AB693" s="78"/>
    </row>
    <row r="694" spans="1:36" s="44" customFormat="1" ht="14.25" customHeight="1" hidden="1">
      <c r="A694" s="37" t="s">
        <v>573</v>
      </c>
      <c r="B694" s="37">
        <v>1</v>
      </c>
      <c r="C694" s="37"/>
      <c r="D694" s="37"/>
      <c r="E694" s="37"/>
      <c r="F694" s="37">
        <v>5</v>
      </c>
      <c r="G694" s="37"/>
      <c r="H694" s="37"/>
      <c r="I694" s="37"/>
      <c r="J694" s="37">
        <v>1070</v>
      </c>
      <c r="K694" s="272">
        <v>381</v>
      </c>
      <c r="L694" s="273" t="s">
        <v>234</v>
      </c>
      <c r="M694" s="428">
        <f t="shared" si="293"/>
        <v>0</v>
      </c>
      <c r="N694" s="428">
        <f t="shared" si="293"/>
        <v>5308.912336585042</v>
      </c>
      <c r="O694" s="428">
        <f t="shared" si="293"/>
        <v>5308.912336585042</v>
      </c>
      <c r="P694" s="428">
        <f t="shared" si="293"/>
        <v>5308.912336585042</v>
      </c>
      <c r="Q694" s="428">
        <f t="shared" si="293"/>
        <v>0</v>
      </c>
      <c r="R694" s="428"/>
      <c r="S694" s="428"/>
      <c r="T694" s="437" t="e">
        <f t="shared" si="284"/>
        <v>#DIV/0!</v>
      </c>
      <c r="U694" s="437" t="e">
        <f t="shared" si="285"/>
        <v>#DIV/0!</v>
      </c>
      <c r="V694" s="78"/>
      <c r="W694" s="78"/>
      <c r="X694" s="78"/>
      <c r="Y694" s="78"/>
      <c r="Z694" s="78"/>
      <c r="AA694" s="78"/>
      <c r="AB694" s="78"/>
      <c r="AC694" s="75"/>
      <c r="AD694" s="75"/>
      <c r="AE694" s="75"/>
      <c r="AF694" s="75"/>
      <c r="AG694" s="75"/>
      <c r="AH694" s="75"/>
      <c r="AI694" s="75"/>
      <c r="AJ694" s="75"/>
    </row>
    <row r="695" spans="1:36" s="44" customFormat="1" ht="28.5" customHeight="1">
      <c r="A695" s="37" t="s">
        <v>573</v>
      </c>
      <c r="B695" s="37">
        <v>1</v>
      </c>
      <c r="C695" s="37"/>
      <c r="D695" s="37"/>
      <c r="E695" s="37"/>
      <c r="F695" s="37">
        <v>5</v>
      </c>
      <c r="G695" s="37"/>
      <c r="H695" s="37"/>
      <c r="I695" s="37"/>
      <c r="J695" s="37">
        <v>1070</v>
      </c>
      <c r="K695" s="42">
        <v>3811</v>
      </c>
      <c r="L695" s="88" t="s">
        <v>342</v>
      </c>
      <c r="M695" s="428">
        <v>0</v>
      </c>
      <c r="N695" s="428">
        <f>40000/7.5345</f>
        <v>5308.912336585042</v>
      </c>
      <c r="O695" s="428">
        <f>40000/7.5345</f>
        <v>5308.912336585042</v>
      </c>
      <c r="P695" s="428">
        <f>40000/7.5345</f>
        <v>5308.912336585042</v>
      </c>
      <c r="Q695" s="428">
        <v>0</v>
      </c>
      <c r="R695" s="428"/>
      <c r="S695" s="428"/>
      <c r="T695" s="437" t="e">
        <f t="shared" si="284"/>
        <v>#DIV/0!</v>
      </c>
      <c r="U695" s="437" t="e">
        <f t="shared" si="285"/>
        <v>#DIV/0!</v>
      </c>
      <c r="V695" s="78"/>
      <c r="W695" s="78"/>
      <c r="X695" s="78"/>
      <c r="Y695" s="78"/>
      <c r="Z695" s="78"/>
      <c r="AA695" s="78"/>
      <c r="AB695" s="78"/>
      <c r="AC695" s="75"/>
      <c r="AD695" s="75"/>
      <c r="AE695" s="75"/>
      <c r="AF695" s="75"/>
      <c r="AG695" s="75"/>
      <c r="AH695" s="75"/>
      <c r="AI695" s="75"/>
      <c r="AJ695" s="75"/>
    </row>
    <row r="696" spans="1:36" s="212" customFormat="1" ht="21" customHeight="1">
      <c r="A696" s="135"/>
      <c r="B696" s="125"/>
      <c r="C696" s="125"/>
      <c r="D696" s="125"/>
      <c r="E696" s="125"/>
      <c r="F696" s="125"/>
      <c r="G696" s="125"/>
      <c r="H696" s="125"/>
      <c r="I696" s="125"/>
      <c r="J696" s="125"/>
      <c r="K696" s="126"/>
      <c r="L696" s="127" t="s">
        <v>86</v>
      </c>
      <c r="M696" s="421">
        <f aca="true" t="shared" si="294" ref="M696:S696">M674</f>
        <v>0</v>
      </c>
      <c r="N696" s="421">
        <f t="shared" si="294"/>
        <v>63441.502422191246</v>
      </c>
      <c r="O696" s="421">
        <f t="shared" si="294"/>
        <v>63441.502422191246</v>
      </c>
      <c r="P696" s="421">
        <f t="shared" si="294"/>
        <v>63441.502422191246</v>
      </c>
      <c r="Q696" s="421">
        <f t="shared" si="294"/>
        <v>0</v>
      </c>
      <c r="R696" s="421">
        <f t="shared" si="294"/>
        <v>0</v>
      </c>
      <c r="S696" s="421">
        <f t="shared" si="294"/>
        <v>0</v>
      </c>
      <c r="T696" s="421" t="e">
        <f t="shared" si="284"/>
        <v>#DIV/0!</v>
      </c>
      <c r="U696" s="421" t="e">
        <f t="shared" si="285"/>
        <v>#DIV/0!</v>
      </c>
      <c r="V696" s="78"/>
      <c r="W696" s="78"/>
      <c r="X696" s="78"/>
      <c r="Y696" s="78"/>
      <c r="Z696" s="78"/>
      <c r="AA696" s="78"/>
      <c r="AB696" s="78"/>
      <c r="AC696" s="78"/>
      <c r="AD696" s="78"/>
      <c r="AE696" s="78"/>
      <c r="AF696" s="78"/>
      <c r="AG696" s="78"/>
      <c r="AH696" s="78"/>
      <c r="AI696" s="78"/>
      <c r="AJ696" s="78"/>
    </row>
    <row r="697" spans="1:36" s="212" customFormat="1" ht="18" customHeight="1">
      <c r="A697" s="238"/>
      <c r="B697" s="38"/>
      <c r="C697" s="38"/>
      <c r="D697" s="38"/>
      <c r="E697" s="38"/>
      <c r="F697" s="38"/>
      <c r="G697" s="38"/>
      <c r="H697" s="38"/>
      <c r="I697" s="38"/>
      <c r="J697" s="38"/>
      <c r="K697" s="31"/>
      <c r="L697" s="58"/>
      <c r="M697" s="429"/>
      <c r="N697" s="429"/>
      <c r="O697" s="429"/>
      <c r="P697" s="429"/>
      <c r="Q697" s="429"/>
      <c r="R697" s="429"/>
      <c r="S697" s="429"/>
      <c r="T697" s="429"/>
      <c r="U697" s="429"/>
      <c r="V697" s="78"/>
      <c r="W697" s="78"/>
      <c r="X697" s="78"/>
      <c r="Y697" s="78"/>
      <c r="Z697" s="78"/>
      <c r="AA697" s="78"/>
      <c r="AB697" s="78"/>
      <c r="AC697" s="78"/>
      <c r="AD697" s="78"/>
      <c r="AE697" s="78"/>
      <c r="AF697" s="78"/>
      <c r="AG697" s="78"/>
      <c r="AH697" s="78"/>
      <c r="AI697" s="78"/>
      <c r="AJ697" s="78"/>
    </row>
    <row r="698" spans="1:36" s="212" customFormat="1" ht="17.25" customHeight="1">
      <c r="A698" s="79"/>
      <c r="B698" s="79"/>
      <c r="C698" s="79"/>
      <c r="D698" s="79"/>
      <c r="E698" s="79"/>
      <c r="F698" s="79"/>
      <c r="G698" s="79"/>
      <c r="H698" s="79"/>
      <c r="I698" s="79"/>
      <c r="J698" s="79"/>
      <c r="K698" s="41" t="s">
        <v>240</v>
      </c>
      <c r="L698" s="614" t="s">
        <v>530</v>
      </c>
      <c r="M698" s="430"/>
      <c r="N698" s="430"/>
      <c r="O698" s="430"/>
      <c r="P698" s="430"/>
      <c r="Q698" s="430"/>
      <c r="R698" s="430"/>
      <c r="S698" s="430"/>
      <c r="T698" s="430"/>
      <c r="U698" s="430"/>
      <c r="V698" s="78"/>
      <c r="W698" s="78"/>
      <c r="X698" s="78"/>
      <c r="Y698" s="78"/>
      <c r="Z698" s="78"/>
      <c r="AA698" s="78"/>
      <c r="AB698" s="78"/>
      <c r="AC698" s="78"/>
      <c r="AD698" s="78"/>
      <c r="AE698" s="78"/>
      <c r="AF698" s="78"/>
      <c r="AG698" s="78"/>
      <c r="AH698" s="78"/>
      <c r="AI698" s="78"/>
      <c r="AJ698" s="78"/>
    </row>
    <row r="699" spans="1:28" s="75" customFormat="1" ht="15" customHeight="1">
      <c r="A699" s="79" t="s">
        <v>239</v>
      </c>
      <c r="B699" s="79"/>
      <c r="C699" s="79"/>
      <c r="D699" s="79"/>
      <c r="E699" s="79"/>
      <c r="F699" s="79"/>
      <c r="G699" s="79"/>
      <c r="H699" s="79"/>
      <c r="I699" s="79"/>
      <c r="J699" s="79"/>
      <c r="K699" s="41"/>
      <c r="L699" s="618"/>
      <c r="M699" s="430"/>
      <c r="N699" s="430"/>
      <c r="O699" s="430"/>
      <c r="P699" s="430"/>
      <c r="Q699" s="430"/>
      <c r="R699" s="430"/>
      <c r="S699" s="430"/>
      <c r="T699" s="430"/>
      <c r="U699" s="430"/>
      <c r="V699" s="78"/>
      <c r="W699" s="78"/>
      <c r="X699" s="78"/>
      <c r="Y699" s="78"/>
      <c r="Z699" s="78"/>
      <c r="AA699" s="78"/>
      <c r="AB699" s="78"/>
    </row>
    <row r="700" spans="1:28" s="75" customFormat="1" ht="15">
      <c r="A700" s="79" t="s">
        <v>574</v>
      </c>
      <c r="B700" s="79"/>
      <c r="C700" s="79"/>
      <c r="D700" s="79"/>
      <c r="E700" s="79"/>
      <c r="F700" s="79"/>
      <c r="G700" s="79"/>
      <c r="H700" s="79"/>
      <c r="I700" s="79"/>
      <c r="J700" s="79">
        <v>760</v>
      </c>
      <c r="K700" s="41" t="s">
        <v>25</v>
      </c>
      <c r="L700" s="618"/>
      <c r="M700" s="430"/>
      <c r="N700" s="430"/>
      <c r="O700" s="430"/>
      <c r="P700" s="430"/>
      <c r="Q700" s="430"/>
      <c r="R700" s="430"/>
      <c r="S700" s="430"/>
      <c r="T700" s="430"/>
      <c r="U700" s="430"/>
      <c r="V700" s="78"/>
      <c r="W700" s="78"/>
      <c r="X700" s="78"/>
      <c r="Y700" s="78"/>
      <c r="Z700" s="78"/>
      <c r="AA700" s="78"/>
      <c r="AB700" s="78"/>
    </row>
    <row r="701" spans="1:28" s="75" customFormat="1" ht="15.75">
      <c r="A701" s="65" t="s">
        <v>574</v>
      </c>
      <c r="B701" s="37">
        <v>1</v>
      </c>
      <c r="C701" s="37"/>
      <c r="D701" s="37"/>
      <c r="E701" s="37"/>
      <c r="F701" s="37"/>
      <c r="G701" s="37"/>
      <c r="H701" s="37"/>
      <c r="I701" s="37"/>
      <c r="J701" s="37">
        <v>760</v>
      </c>
      <c r="K701" s="272">
        <v>3</v>
      </c>
      <c r="L701" s="273" t="s">
        <v>0</v>
      </c>
      <c r="M701" s="422">
        <f aca="true" t="shared" si="295" ref="M701:S702">M702</f>
        <v>7708.938881146724</v>
      </c>
      <c r="N701" s="422">
        <f t="shared" si="295"/>
        <v>15926.737009755125</v>
      </c>
      <c r="O701" s="437">
        <f t="shared" si="295"/>
        <v>120000</v>
      </c>
      <c r="P701" s="437">
        <f t="shared" si="295"/>
        <v>15926.737009755125</v>
      </c>
      <c r="Q701" s="437">
        <f t="shared" si="295"/>
        <v>5743.6</v>
      </c>
      <c r="R701" s="437">
        <f t="shared" si="295"/>
        <v>15283.45</v>
      </c>
      <c r="S701" s="437">
        <f t="shared" si="295"/>
        <v>10127.140000000001</v>
      </c>
      <c r="T701" s="437">
        <f>S701/M701*100</f>
        <v>131.36879350240176</v>
      </c>
      <c r="U701" s="437">
        <f>S701/R701*100</f>
        <v>66.26213322253811</v>
      </c>
      <c r="V701" s="78"/>
      <c r="W701" s="78"/>
      <c r="X701" s="78"/>
      <c r="Y701" s="78"/>
      <c r="Z701" s="78"/>
      <c r="AA701" s="78"/>
      <c r="AB701" s="78"/>
    </row>
    <row r="702" spans="1:28" s="75" customFormat="1" ht="37.5" customHeight="1">
      <c r="A702" s="65" t="s">
        <v>574</v>
      </c>
      <c r="B702" s="37">
        <v>1</v>
      </c>
      <c r="C702" s="37"/>
      <c r="D702" s="37"/>
      <c r="E702" s="37"/>
      <c r="F702" s="37"/>
      <c r="G702" s="37"/>
      <c r="H702" s="37"/>
      <c r="I702" s="37"/>
      <c r="J702" s="37">
        <v>760</v>
      </c>
      <c r="K702" s="274">
        <v>32</v>
      </c>
      <c r="L702" s="278" t="s">
        <v>5</v>
      </c>
      <c r="M702" s="422">
        <f t="shared" si="295"/>
        <v>7708.938881146724</v>
      </c>
      <c r="N702" s="422">
        <f t="shared" si="295"/>
        <v>15926.737009755125</v>
      </c>
      <c r="O702" s="437">
        <f t="shared" si="295"/>
        <v>120000</v>
      </c>
      <c r="P702" s="437">
        <f t="shared" si="295"/>
        <v>15926.737009755125</v>
      </c>
      <c r="Q702" s="437">
        <f t="shared" si="295"/>
        <v>5743.6</v>
      </c>
      <c r="R702" s="437">
        <f t="shared" si="295"/>
        <v>15283.45</v>
      </c>
      <c r="S702" s="437">
        <f t="shared" si="295"/>
        <v>10127.140000000001</v>
      </c>
      <c r="T702" s="437">
        <f aca="true" t="shared" si="296" ref="T702:T711">S702/M702*100</f>
        <v>131.36879350240176</v>
      </c>
      <c r="U702" s="437">
        <f aca="true" t="shared" si="297" ref="U702:U711">S702/R702*100</f>
        <v>66.26213322253811</v>
      </c>
      <c r="V702" s="78"/>
      <c r="W702" s="78"/>
      <c r="X702" s="78"/>
      <c r="Y702" s="78"/>
      <c r="Z702" s="78"/>
      <c r="AA702" s="78"/>
      <c r="AB702" s="78"/>
    </row>
    <row r="703" spans="1:28" s="75" customFormat="1" ht="24.75" customHeight="1">
      <c r="A703" s="65" t="s">
        <v>574</v>
      </c>
      <c r="B703" s="37">
        <v>1</v>
      </c>
      <c r="C703" s="37"/>
      <c r="D703" s="37"/>
      <c r="E703" s="37"/>
      <c r="F703" s="37"/>
      <c r="G703" s="37"/>
      <c r="H703" s="37"/>
      <c r="I703" s="37"/>
      <c r="J703" s="37">
        <v>760</v>
      </c>
      <c r="K703" s="272">
        <v>323</v>
      </c>
      <c r="L703" s="278" t="s">
        <v>7</v>
      </c>
      <c r="M703" s="422">
        <f aca="true" t="shared" si="298" ref="M703:S703">M704+M705+M706+M707</f>
        <v>7708.938881146724</v>
      </c>
      <c r="N703" s="422">
        <f t="shared" si="298"/>
        <v>15926.737009755125</v>
      </c>
      <c r="O703" s="437">
        <f t="shared" si="298"/>
        <v>120000</v>
      </c>
      <c r="P703" s="437">
        <f t="shared" si="298"/>
        <v>15926.737009755125</v>
      </c>
      <c r="Q703" s="437">
        <f t="shared" si="298"/>
        <v>5743.6</v>
      </c>
      <c r="R703" s="437">
        <f t="shared" si="298"/>
        <v>15283.45</v>
      </c>
      <c r="S703" s="437">
        <f t="shared" si="298"/>
        <v>10127.140000000001</v>
      </c>
      <c r="T703" s="437">
        <f t="shared" si="296"/>
        <v>131.36879350240176</v>
      </c>
      <c r="U703" s="437">
        <f t="shared" si="297"/>
        <v>66.26213322253811</v>
      </c>
      <c r="V703" s="78"/>
      <c r="W703" s="78"/>
      <c r="X703" s="78"/>
      <c r="Y703" s="78"/>
      <c r="Z703" s="78"/>
      <c r="AA703" s="78"/>
      <c r="AB703" s="78"/>
    </row>
    <row r="704" spans="1:28" s="75" customFormat="1" ht="26.25" customHeight="1">
      <c r="A704" s="65" t="s">
        <v>574</v>
      </c>
      <c r="B704" s="37">
        <v>1</v>
      </c>
      <c r="C704" s="37"/>
      <c r="D704" s="37"/>
      <c r="E704" s="37"/>
      <c r="F704" s="37"/>
      <c r="G704" s="37"/>
      <c r="H704" s="37"/>
      <c r="I704" s="37"/>
      <c r="J704" s="37">
        <v>760</v>
      </c>
      <c r="K704" s="42">
        <v>3234</v>
      </c>
      <c r="L704" s="339" t="s">
        <v>78</v>
      </c>
      <c r="M704" s="422">
        <f>50850/7.5345</f>
        <v>6748.954807883734</v>
      </c>
      <c r="N704" s="422">
        <f>60000/7.5345</f>
        <v>7963.368504877562</v>
      </c>
      <c r="O704" s="422">
        <v>60000</v>
      </c>
      <c r="P704" s="422">
        <f>60000/7.5345</f>
        <v>7963.368504877562</v>
      </c>
      <c r="Q704" s="422">
        <v>3294.85</v>
      </c>
      <c r="R704" s="422">
        <f>3294.85*2</f>
        <v>6589.7</v>
      </c>
      <c r="S704" s="422">
        <v>6589.7</v>
      </c>
      <c r="T704" s="437">
        <f t="shared" si="296"/>
        <v>97.64030412979352</v>
      </c>
      <c r="U704" s="437">
        <f t="shared" si="297"/>
        <v>100</v>
      </c>
      <c r="V704" s="78"/>
      <c r="W704" s="78"/>
      <c r="X704" s="78"/>
      <c r="Y704" s="78"/>
      <c r="Z704" s="78"/>
      <c r="AA704" s="78"/>
      <c r="AB704" s="78"/>
    </row>
    <row r="705" spans="1:28" s="75" customFormat="1" ht="26.25" customHeight="1">
      <c r="A705" s="65" t="s">
        <v>574</v>
      </c>
      <c r="B705" s="37">
        <v>1</v>
      </c>
      <c r="C705" s="37"/>
      <c r="D705" s="37"/>
      <c r="E705" s="37"/>
      <c r="F705" s="37"/>
      <c r="G705" s="37"/>
      <c r="H705" s="37"/>
      <c r="I705" s="37"/>
      <c r="J705" s="37">
        <v>760</v>
      </c>
      <c r="K705" s="42">
        <v>3236</v>
      </c>
      <c r="L705" s="330" t="s">
        <v>557</v>
      </c>
      <c r="M705" s="422">
        <v>0</v>
      </c>
      <c r="N705" s="422">
        <f>30000/7.5345</f>
        <v>3981.684252438781</v>
      </c>
      <c r="O705" s="422">
        <v>30000</v>
      </c>
      <c r="P705" s="422">
        <f>30000/7.5345</f>
        <v>3981.684252438781</v>
      </c>
      <c r="Q705" s="422">
        <v>0</v>
      </c>
      <c r="R705" s="422">
        <f>125+68.75</f>
        <v>193.75</v>
      </c>
      <c r="S705" s="422"/>
      <c r="T705" s="437" t="e">
        <f t="shared" si="296"/>
        <v>#DIV/0!</v>
      </c>
      <c r="U705" s="437">
        <f t="shared" si="297"/>
        <v>0</v>
      </c>
      <c r="V705" s="78"/>
      <c r="W705" s="78"/>
      <c r="X705" s="78"/>
      <c r="Y705" s="78"/>
      <c r="Z705" s="78"/>
      <c r="AA705" s="78"/>
      <c r="AB705" s="78"/>
    </row>
    <row r="706" spans="1:36" s="128" customFormat="1" ht="21" customHeight="1">
      <c r="A706" s="65" t="s">
        <v>574</v>
      </c>
      <c r="B706" s="37">
        <v>1</v>
      </c>
      <c r="C706" s="37"/>
      <c r="D706" s="37"/>
      <c r="E706" s="37"/>
      <c r="F706" s="37"/>
      <c r="G706" s="37"/>
      <c r="H706" s="37"/>
      <c r="I706" s="37"/>
      <c r="J706" s="37">
        <v>760</v>
      </c>
      <c r="K706" s="42">
        <v>3236</v>
      </c>
      <c r="L706" s="330" t="s">
        <v>556</v>
      </c>
      <c r="M706" s="422">
        <f>7233/7.5345</f>
        <v>959.9840732629901</v>
      </c>
      <c r="N706" s="422">
        <f>30000/7.5345</f>
        <v>3981.684252438781</v>
      </c>
      <c r="O706" s="422">
        <v>30000</v>
      </c>
      <c r="P706" s="422">
        <f>30000/7.5345</f>
        <v>3981.684252438781</v>
      </c>
      <c r="Q706" s="422">
        <v>2448.75</v>
      </c>
      <c r="R706" s="422">
        <v>3000</v>
      </c>
      <c r="S706" s="422">
        <v>3181.25</v>
      </c>
      <c r="T706" s="437">
        <f t="shared" si="296"/>
        <v>331.38570613853176</v>
      </c>
      <c r="U706" s="437">
        <f t="shared" si="297"/>
        <v>106.04166666666666</v>
      </c>
      <c r="V706" s="78"/>
      <c r="W706" s="78"/>
      <c r="X706" s="78"/>
      <c r="Y706" s="78"/>
      <c r="Z706" s="78"/>
      <c r="AA706" s="78"/>
      <c r="AB706" s="78"/>
      <c r="AC706" s="75"/>
      <c r="AD706" s="75"/>
      <c r="AE706" s="75"/>
      <c r="AF706" s="75"/>
      <c r="AG706" s="75"/>
      <c r="AH706" s="75"/>
      <c r="AI706" s="75"/>
      <c r="AJ706" s="75"/>
    </row>
    <row r="707" spans="1:36" s="84" customFormat="1" ht="24.75" customHeight="1">
      <c r="A707" s="65" t="s">
        <v>574</v>
      </c>
      <c r="B707" s="37">
        <v>1</v>
      </c>
      <c r="C707" s="37"/>
      <c r="D707" s="37"/>
      <c r="E707" s="37"/>
      <c r="F707" s="37"/>
      <c r="G707" s="37"/>
      <c r="H707" s="37"/>
      <c r="I707" s="37"/>
      <c r="J707" s="37">
        <v>760</v>
      </c>
      <c r="K707" s="42">
        <v>3237</v>
      </c>
      <c r="L707" s="339" t="s">
        <v>80</v>
      </c>
      <c r="M707" s="422"/>
      <c r="N707" s="422">
        <v>0</v>
      </c>
      <c r="O707" s="422"/>
      <c r="P707" s="422">
        <v>0</v>
      </c>
      <c r="Q707" s="422">
        <v>0</v>
      </c>
      <c r="R707" s="422">
        <v>5500</v>
      </c>
      <c r="S707" s="422">
        <v>356.19</v>
      </c>
      <c r="T707" s="437" t="e">
        <f t="shared" si="296"/>
        <v>#DIV/0!</v>
      </c>
      <c r="U707" s="437">
        <f t="shared" si="297"/>
        <v>6.476181818181819</v>
      </c>
      <c r="V707" s="78"/>
      <c r="W707" s="78"/>
      <c r="X707" s="78"/>
      <c r="Y707" s="78"/>
      <c r="Z707" s="78"/>
      <c r="AA707" s="78"/>
      <c r="AB707" s="78"/>
      <c r="AC707" s="75"/>
      <c r="AD707" s="75"/>
      <c r="AE707" s="75"/>
      <c r="AF707" s="75"/>
      <c r="AG707" s="75"/>
      <c r="AH707" s="75"/>
      <c r="AI707" s="75"/>
      <c r="AJ707" s="75"/>
    </row>
    <row r="708" spans="1:36" s="131" customFormat="1" ht="15.75">
      <c r="A708" s="135"/>
      <c r="B708" s="125"/>
      <c r="C708" s="125"/>
      <c r="D708" s="125"/>
      <c r="E708" s="125"/>
      <c r="F708" s="125"/>
      <c r="G708" s="125"/>
      <c r="H708" s="125"/>
      <c r="I708" s="125"/>
      <c r="J708" s="125"/>
      <c r="K708" s="132"/>
      <c r="L708" s="133" t="s">
        <v>86</v>
      </c>
      <c r="M708" s="431">
        <f aca="true" t="shared" si="299" ref="M708:S708">M701</f>
        <v>7708.938881146724</v>
      </c>
      <c r="N708" s="431">
        <f t="shared" si="299"/>
        <v>15926.737009755125</v>
      </c>
      <c r="O708" s="431">
        <f t="shared" si="299"/>
        <v>120000</v>
      </c>
      <c r="P708" s="431">
        <f t="shared" si="299"/>
        <v>15926.737009755125</v>
      </c>
      <c r="Q708" s="431">
        <f t="shared" si="299"/>
        <v>5743.6</v>
      </c>
      <c r="R708" s="431">
        <f t="shared" si="299"/>
        <v>15283.45</v>
      </c>
      <c r="S708" s="431">
        <f t="shared" si="299"/>
        <v>10127.140000000001</v>
      </c>
      <c r="T708" s="421">
        <f t="shared" si="296"/>
        <v>131.36879350240176</v>
      </c>
      <c r="U708" s="421">
        <f t="shared" si="297"/>
        <v>66.26213322253811</v>
      </c>
      <c r="V708" s="78"/>
      <c r="W708" s="78"/>
      <c r="X708" s="78"/>
      <c r="Y708" s="78"/>
      <c r="Z708" s="78"/>
      <c r="AA708" s="78"/>
      <c r="AB708" s="78"/>
      <c r="AC708" s="75"/>
      <c r="AD708" s="75"/>
      <c r="AE708" s="75"/>
      <c r="AF708" s="75"/>
      <c r="AG708" s="75"/>
      <c r="AH708" s="75"/>
      <c r="AI708" s="75"/>
      <c r="AJ708" s="75"/>
    </row>
    <row r="709" spans="1:36" s="124" customFormat="1" ht="18.75" customHeight="1">
      <c r="A709" s="82"/>
      <c r="B709" s="82"/>
      <c r="C709" s="82"/>
      <c r="D709" s="82"/>
      <c r="E709" s="82"/>
      <c r="F709" s="82"/>
      <c r="G709" s="82"/>
      <c r="H709" s="82"/>
      <c r="I709" s="82"/>
      <c r="J709" s="82"/>
      <c r="K709" s="122"/>
      <c r="L709" s="340" t="s">
        <v>241</v>
      </c>
      <c r="M709" s="432">
        <f aca="true" t="shared" si="300" ref="M709:S709">M211+M225+M232+M238+M256+M267+M286+M301+M314+M319+M324+M333+M346+M360+M379+M406+M433+M448+M460+M474+M495+M508+M531+M553+M559+M566+M574+M582+M600+M616+M626+M637+M654+M662+M670+M696+M708</f>
        <v>1578066.8889309175</v>
      </c>
      <c r="N709" s="432">
        <f t="shared" si="300"/>
        <v>1898286.42064197</v>
      </c>
      <c r="O709" s="432">
        <f t="shared" si="300"/>
        <v>12330137.21333864</v>
      </c>
      <c r="P709" s="432">
        <f t="shared" si="300"/>
        <v>2043950.1475864358</v>
      </c>
      <c r="Q709" s="432">
        <f t="shared" si="300"/>
        <v>772088.0099999998</v>
      </c>
      <c r="R709" s="432">
        <f t="shared" si="300"/>
        <v>1646345.3</v>
      </c>
      <c r="S709" s="434">
        <f t="shared" si="300"/>
        <v>1562272.24</v>
      </c>
      <c r="T709" s="432">
        <f t="shared" si="296"/>
        <v>98.99911410335605</v>
      </c>
      <c r="U709" s="434">
        <f t="shared" si="297"/>
        <v>94.89335195964054</v>
      </c>
      <c r="V709" s="78"/>
      <c r="W709" s="78"/>
      <c r="X709" s="78"/>
      <c r="Y709" s="78"/>
      <c r="Z709" s="78"/>
      <c r="AA709" s="78"/>
      <c r="AB709" s="78"/>
      <c r="AC709" s="75"/>
      <c r="AD709" s="75"/>
      <c r="AE709" s="75"/>
      <c r="AF709" s="75"/>
      <c r="AG709" s="75"/>
      <c r="AH709" s="75"/>
      <c r="AI709" s="75"/>
      <c r="AJ709" s="75"/>
    </row>
    <row r="710" spans="1:28" s="75" customFormat="1" ht="20.25" customHeight="1">
      <c r="A710" s="82"/>
      <c r="B710" s="82"/>
      <c r="C710" s="82"/>
      <c r="D710" s="82"/>
      <c r="E710" s="82"/>
      <c r="F710" s="82"/>
      <c r="G710" s="82"/>
      <c r="H710" s="82"/>
      <c r="I710" s="82"/>
      <c r="J710" s="82"/>
      <c r="K710" s="110"/>
      <c r="L710" s="379" t="s">
        <v>242</v>
      </c>
      <c r="M710" s="433">
        <f aca="true" t="shared" si="301" ref="M710:S710">M709</f>
        <v>1578066.8889309175</v>
      </c>
      <c r="N710" s="433">
        <f t="shared" si="301"/>
        <v>1898286.42064197</v>
      </c>
      <c r="O710" s="433">
        <f t="shared" si="301"/>
        <v>12330137.21333864</v>
      </c>
      <c r="P710" s="433">
        <f t="shared" si="301"/>
        <v>2043950.1475864358</v>
      </c>
      <c r="Q710" s="433">
        <f t="shared" si="301"/>
        <v>772088.0099999998</v>
      </c>
      <c r="R710" s="433">
        <f t="shared" si="301"/>
        <v>1646345.3</v>
      </c>
      <c r="S710" s="433">
        <f t="shared" si="301"/>
        <v>1562272.24</v>
      </c>
      <c r="T710" s="433">
        <f t="shared" si="296"/>
        <v>98.99911410335605</v>
      </c>
      <c r="U710" s="433">
        <f t="shared" si="297"/>
        <v>94.89335195964054</v>
      </c>
      <c r="V710" s="78"/>
      <c r="W710" s="78"/>
      <c r="X710" s="78"/>
      <c r="Y710" s="78"/>
      <c r="Z710" s="78"/>
      <c r="AA710" s="78"/>
      <c r="AB710" s="78"/>
    </row>
    <row r="711" spans="1:28" s="75" customFormat="1" ht="21" customHeight="1">
      <c r="A711" s="82"/>
      <c r="B711" s="82"/>
      <c r="C711" s="82"/>
      <c r="D711" s="82"/>
      <c r="E711" s="82"/>
      <c r="F711" s="82"/>
      <c r="G711" s="82"/>
      <c r="H711" s="82"/>
      <c r="I711" s="82"/>
      <c r="J711" s="82"/>
      <c r="K711" s="123"/>
      <c r="L711" s="378" t="s">
        <v>437</v>
      </c>
      <c r="M711" s="434">
        <f aca="true" t="shared" si="302" ref="M711:S711">M97+M127+M710</f>
        <v>1673000.461165306</v>
      </c>
      <c r="N711" s="434">
        <f t="shared" si="302"/>
        <v>2024426.8413732725</v>
      </c>
      <c r="O711" s="434">
        <f t="shared" si="302"/>
        <v>13140043.308301808</v>
      </c>
      <c r="P711" s="434">
        <f t="shared" si="302"/>
        <v>2170090.5683177384</v>
      </c>
      <c r="Q711" s="434">
        <f t="shared" si="302"/>
        <v>832826.3799999998</v>
      </c>
      <c r="R711" s="434">
        <f t="shared" si="302"/>
        <v>1756765.1600000001</v>
      </c>
      <c r="S711" s="434">
        <f t="shared" si="302"/>
        <v>1681882.21</v>
      </c>
      <c r="T711" s="432">
        <f t="shared" si="296"/>
        <v>100.53088741102363</v>
      </c>
      <c r="U711" s="434">
        <f t="shared" si="297"/>
        <v>95.73745246632737</v>
      </c>
      <c r="V711" s="78"/>
      <c r="W711" s="78"/>
      <c r="X711" s="78"/>
      <c r="Y711" s="78"/>
      <c r="Z711" s="78"/>
      <c r="AA711" s="78"/>
      <c r="AB711" s="78"/>
    </row>
    <row r="712" spans="1:28" s="75" customFormat="1" ht="3" customHeight="1">
      <c r="A712" s="82"/>
      <c r="B712" s="82"/>
      <c r="C712" s="82"/>
      <c r="D712" s="82"/>
      <c r="E712" s="82"/>
      <c r="F712" s="82"/>
      <c r="G712" s="82"/>
      <c r="H712" s="82"/>
      <c r="I712" s="82"/>
      <c r="J712" s="82"/>
      <c r="K712" s="165"/>
      <c r="L712" s="176"/>
      <c r="M712" s="458"/>
      <c r="N712" s="458"/>
      <c r="O712" s="458"/>
      <c r="P712" s="458"/>
      <c r="Q712" s="458"/>
      <c r="R712" s="458"/>
      <c r="S712" s="458"/>
      <c r="T712" s="458"/>
      <c r="U712" s="458"/>
      <c r="V712" s="78"/>
      <c r="W712" s="78"/>
      <c r="X712" s="78"/>
      <c r="Y712" s="78"/>
      <c r="Z712" s="78"/>
      <c r="AA712" s="78"/>
      <c r="AB712" s="78"/>
    </row>
    <row r="713" spans="1:28" s="75" customFormat="1" ht="2.25" customHeight="1" hidden="1">
      <c r="A713" s="82"/>
      <c r="B713" s="82"/>
      <c r="C713" s="82"/>
      <c r="D713" s="82"/>
      <c r="E713" s="82"/>
      <c r="F713" s="82"/>
      <c r="G713" s="82"/>
      <c r="H713" s="82"/>
      <c r="I713" s="82"/>
      <c r="J713" s="82"/>
      <c r="K713" s="165"/>
      <c r="L713" s="176"/>
      <c r="M713" s="458"/>
      <c r="N713" s="458"/>
      <c r="O713" s="458"/>
      <c r="P713" s="458"/>
      <c r="Q713" s="458"/>
      <c r="R713" s="458"/>
      <c r="S713" s="458"/>
      <c r="T713" s="458"/>
      <c r="U713" s="458"/>
      <c r="V713" s="78"/>
      <c r="W713" s="78"/>
      <c r="X713" s="78"/>
      <c r="Y713" s="78"/>
      <c r="Z713" s="78"/>
      <c r="AA713" s="78"/>
      <c r="AB713" s="78"/>
    </row>
    <row r="714" spans="1:28" s="75" customFormat="1" ht="21" customHeight="1" hidden="1">
      <c r="A714" s="82"/>
      <c r="B714" s="82"/>
      <c r="C714" s="82"/>
      <c r="D714" s="82"/>
      <c r="E714" s="82"/>
      <c r="F714" s="82"/>
      <c r="G714" s="82"/>
      <c r="H714" s="82"/>
      <c r="I714" s="82"/>
      <c r="J714" s="82"/>
      <c r="K714" s="165"/>
      <c r="L714" s="176"/>
      <c r="M714" s="458"/>
      <c r="N714" s="458"/>
      <c r="O714" s="458"/>
      <c r="P714" s="458"/>
      <c r="Q714" s="458"/>
      <c r="R714" s="458"/>
      <c r="S714" s="458"/>
      <c r="T714" s="458"/>
      <c r="U714" s="458"/>
      <c r="V714" s="78"/>
      <c r="W714" s="78"/>
      <c r="X714" s="78"/>
      <c r="Y714" s="78"/>
      <c r="Z714" s="78"/>
      <c r="AA714" s="78"/>
      <c r="AB714" s="78"/>
    </row>
    <row r="715" spans="1:28" s="75" customFormat="1" ht="12" customHeight="1" hidden="1">
      <c r="A715" s="82"/>
      <c r="B715" s="82"/>
      <c r="C715" s="82"/>
      <c r="D715" s="82"/>
      <c r="E715" s="82"/>
      <c r="F715" s="82"/>
      <c r="G715" s="82"/>
      <c r="H715" s="82"/>
      <c r="I715" s="82"/>
      <c r="J715" s="82"/>
      <c r="K715" s="165"/>
      <c r="L715" s="176"/>
      <c r="M715" s="458"/>
      <c r="N715" s="458"/>
      <c r="O715" s="458"/>
      <c r="P715" s="458"/>
      <c r="Q715" s="458"/>
      <c r="R715" s="458"/>
      <c r="S715" s="458"/>
      <c r="T715" s="458"/>
      <c r="U715" s="458"/>
      <c r="V715" s="78"/>
      <c r="W715" s="78"/>
      <c r="X715" s="78"/>
      <c r="Y715" s="78"/>
      <c r="Z715" s="78"/>
      <c r="AA715" s="78"/>
      <c r="AB715" s="78"/>
    </row>
    <row r="716" spans="1:28" s="75" customFormat="1" ht="15.75" customHeight="1" hidden="1">
      <c r="A716" s="82"/>
      <c r="B716" s="82"/>
      <c r="C716" s="82"/>
      <c r="D716" s="82"/>
      <c r="E716" s="82"/>
      <c r="F716" s="82"/>
      <c r="G716" s="82"/>
      <c r="H716" s="82"/>
      <c r="I716" s="82"/>
      <c r="J716" s="82"/>
      <c r="K716" s="165"/>
      <c r="L716" s="176"/>
      <c r="M716" s="458"/>
      <c r="N716" s="458"/>
      <c r="O716" s="458"/>
      <c r="P716" s="458"/>
      <c r="Q716" s="458"/>
      <c r="R716" s="458"/>
      <c r="S716" s="458"/>
      <c r="T716" s="458"/>
      <c r="U716" s="458"/>
      <c r="V716" s="78"/>
      <c r="W716" s="78"/>
      <c r="X716" s="78"/>
      <c r="Y716" s="78"/>
      <c r="Z716" s="78"/>
      <c r="AA716" s="78"/>
      <c r="AB716" s="78"/>
    </row>
    <row r="717" spans="1:28" s="75" customFormat="1" ht="21" customHeight="1" hidden="1">
      <c r="A717" s="82"/>
      <c r="B717" s="82"/>
      <c r="C717" s="82"/>
      <c r="D717" s="82"/>
      <c r="E717" s="82"/>
      <c r="F717" s="82"/>
      <c r="G717" s="82"/>
      <c r="H717" s="82"/>
      <c r="I717" s="82"/>
      <c r="J717" s="82"/>
      <c r="K717" s="165"/>
      <c r="L717" s="176"/>
      <c r="M717" s="458"/>
      <c r="N717" s="458"/>
      <c r="O717" s="458"/>
      <c r="P717" s="458"/>
      <c r="Q717" s="458"/>
      <c r="R717" s="458"/>
      <c r="S717" s="458"/>
      <c r="T717" s="458"/>
      <c r="U717" s="458"/>
      <c r="V717" s="78"/>
      <c r="W717" s="78"/>
      <c r="X717" s="78"/>
      <c r="Y717" s="78"/>
      <c r="Z717" s="78"/>
      <c r="AA717" s="78"/>
      <c r="AB717" s="78"/>
    </row>
    <row r="718" spans="1:28" s="75" customFormat="1" ht="1.5" customHeight="1" hidden="1">
      <c r="A718" s="82"/>
      <c r="B718" s="82"/>
      <c r="C718" s="82"/>
      <c r="D718" s="82"/>
      <c r="E718" s="82"/>
      <c r="F718" s="82"/>
      <c r="G718" s="82"/>
      <c r="H718" s="82"/>
      <c r="I718" s="82"/>
      <c r="J718" s="82"/>
      <c r="K718" s="165"/>
      <c r="L718" s="176"/>
      <c r="M718" s="458"/>
      <c r="N718" s="458"/>
      <c r="O718" s="458"/>
      <c r="P718" s="458"/>
      <c r="Q718" s="458"/>
      <c r="R718" s="458"/>
      <c r="S718" s="458"/>
      <c r="T718" s="458"/>
      <c r="U718" s="458"/>
      <c r="V718" s="78"/>
      <c r="W718" s="78"/>
      <c r="X718" s="78"/>
      <c r="Y718" s="78"/>
      <c r="Z718" s="78"/>
      <c r="AA718" s="78"/>
      <c r="AB718" s="78"/>
    </row>
    <row r="719" spans="1:28" s="75" customFormat="1" ht="21" customHeight="1" hidden="1">
      <c r="A719" s="82"/>
      <c r="B719" s="82"/>
      <c r="C719" s="82"/>
      <c r="D719" s="82"/>
      <c r="E719" s="82"/>
      <c r="F719" s="82"/>
      <c r="G719" s="82"/>
      <c r="H719" s="82"/>
      <c r="I719" s="82"/>
      <c r="J719" s="82"/>
      <c r="K719" s="165"/>
      <c r="L719" s="176"/>
      <c r="M719" s="458"/>
      <c r="N719" s="458"/>
      <c r="O719" s="458"/>
      <c r="P719" s="458"/>
      <c r="Q719" s="458"/>
      <c r="R719" s="458"/>
      <c r="S719" s="458"/>
      <c r="T719" s="458"/>
      <c r="U719" s="458"/>
      <c r="V719" s="78"/>
      <c r="W719" s="78"/>
      <c r="X719" s="78"/>
      <c r="Y719" s="78"/>
      <c r="Z719" s="78"/>
      <c r="AA719" s="78"/>
      <c r="AB719" s="78"/>
    </row>
    <row r="720" spans="1:28" s="75" customFormat="1" ht="21" customHeight="1" hidden="1">
      <c r="A720" s="82"/>
      <c r="B720" s="82"/>
      <c r="C720" s="82"/>
      <c r="D720" s="82"/>
      <c r="E720" s="82"/>
      <c r="F720" s="82"/>
      <c r="G720" s="82"/>
      <c r="H720" s="82"/>
      <c r="I720" s="82"/>
      <c r="J720" s="82"/>
      <c r="K720" s="165"/>
      <c r="L720" s="176"/>
      <c r="M720" s="458"/>
      <c r="N720" s="458"/>
      <c r="O720" s="458"/>
      <c r="P720" s="458"/>
      <c r="Q720" s="458"/>
      <c r="R720" s="458"/>
      <c r="S720" s="458"/>
      <c r="T720" s="458"/>
      <c r="U720" s="458"/>
      <c r="V720" s="78"/>
      <c r="W720" s="78"/>
      <c r="X720" s="78"/>
      <c r="Y720" s="78"/>
      <c r="Z720" s="78"/>
      <c r="AA720" s="78"/>
      <c r="AB720" s="78"/>
    </row>
    <row r="721" spans="1:28" s="75" customFormat="1" ht="21" customHeight="1" hidden="1">
      <c r="A721" s="82"/>
      <c r="B721" s="82"/>
      <c r="C721" s="82"/>
      <c r="D721" s="82"/>
      <c r="E721" s="82"/>
      <c r="F721" s="82"/>
      <c r="G721" s="82"/>
      <c r="H721" s="82"/>
      <c r="I721" s="82"/>
      <c r="J721" s="82"/>
      <c r="K721" s="165"/>
      <c r="L721" s="176"/>
      <c r="M721" s="458"/>
      <c r="N721" s="458"/>
      <c r="O721" s="458"/>
      <c r="P721" s="458"/>
      <c r="Q721" s="458"/>
      <c r="R721" s="458"/>
      <c r="S721" s="458"/>
      <c r="T721" s="458"/>
      <c r="U721" s="458"/>
      <c r="V721" s="78"/>
      <c r="W721" s="78"/>
      <c r="X721" s="78"/>
      <c r="Y721" s="78"/>
      <c r="Z721" s="78"/>
      <c r="AA721" s="78"/>
      <c r="AB721" s="78"/>
    </row>
    <row r="722" spans="1:28" s="75" customFormat="1" ht="21" customHeight="1" hidden="1">
      <c r="A722" s="82"/>
      <c r="B722" s="82"/>
      <c r="C722" s="82"/>
      <c r="D722" s="82"/>
      <c r="E722" s="82"/>
      <c r="F722" s="82"/>
      <c r="G722" s="82"/>
      <c r="H722" s="82"/>
      <c r="I722" s="82"/>
      <c r="J722" s="82"/>
      <c r="K722" s="165"/>
      <c r="L722" s="176"/>
      <c r="M722" s="458"/>
      <c r="N722" s="458"/>
      <c r="O722" s="458"/>
      <c r="P722" s="458"/>
      <c r="Q722" s="458"/>
      <c r="R722" s="458"/>
      <c r="S722" s="458"/>
      <c r="T722" s="458"/>
      <c r="U722" s="458"/>
      <c r="V722" s="78"/>
      <c r="W722" s="78"/>
      <c r="X722" s="78"/>
      <c r="Y722" s="78"/>
      <c r="Z722" s="78"/>
      <c r="AA722" s="78"/>
      <c r="AB722" s="78"/>
    </row>
    <row r="723" spans="1:28" s="75" customFormat="1" ht="21" customHeight="1" hidden="1">
      <c r="A723" s="82"/>
      <c r="B723" s="82"/>
      <c r="C723" s="82"/>
      <c r="D723" s="82"/>
      <c r="E723" s="82"/>
      <c r="F723" s="82"/>
      <c r="G723" s="82"/>
      <c r="H723" s="82"/>
      <c r="I723" s="82"/>
      <c r="J723" s="82"/>
      <c r="K723" s="165"/>
      <c r="L723" s="176"/>
      <c r="M723" s="458"/>
      <c r="N723" s="458"/>
      <c r="O723" s="458"/>
      <c r="P723" s="458"/>
      <c r="Q723" s="458"/>
      <c r="R723" s="458"/>
      <c r="S723" s="458"/>
      <c r="T723" s="458"/>
      <c r="U723" s="458"/>
      <c r="V723" s="78"/>
      <c r="W723" s="78"/>
      <c r="X723" s="78"/>
      <c r="Y723" s="78"/>
      <c r="Z723" s="78"/>
      <c r="AA723" s="78"/>
      <c r="AB723" s="78"/>
    </row>
    <row r="724" spans="1:28" s="75" customFormat="1" ht="21" customHeight="1" hidden="1">
      <c r="A724" s="82"/>
      <c r="B724" s="82"/>
      <c r="C724" s="82"/>
      <c r="D724" s="82"/>
      <c r="E724" s="82"/>
      <c r="F724" s="82"/>
      <c r="G724" s="82"/>
      <c r="H724" s="82"/>
      <c r="I724" s="82"/>
      <c r="J724" s="82"/>
      <c r="K724" s="165"/>
      <c r="L724" s="176"/>
      <c r="M724" s="458"/>
      <c r="N724" s="458"/>
      <c r="O724" s="458"/>
      <c r="P724" s="458"/>
      <c r="Q724" s="458"/>
      <c r="R724" s="458"/>
      <c r="S724" s="458"/>
      <c r="T724" s="458"/>
      <c r="U724" s="458"/>
      <c r="V724" s="78"/>
      <c r="W724" s="78"/>
      <c r="X724" s="78"/>
      <c r="Y724" s="78"/>
      <c r="Z724" s="78"/>
      <c r="AA724" s="78"/>
      <c r="AB724" s="78"/>
    </row>
    <row r="725" spans="1:28" s="75" customFormat="1" ht="21" customHeight="1" hidden="1">
      <c r="A725" s="82"/>
      <c r="B725" s="82"/>
      <c r="C725" s="82"/>
      <c r="D725" s="82"/>
      <c r="E725" s="82"/>
      <c r="F725" s="82"/>
      <c r="G725" s="82"/>
      <c r="H725" s="82"/>
      <c r="I725" s="82"/>
      <c r="J725" s="82"/>
      <c r="K725" s="165"/>
      <c r="L725" s="176"/>
      <c r="M725" s="458"/>
      <c r="N725" s="458"/>
      <c r="O725" s="458"/>
      <c r="P725" s="458"/>
      <c r="Q725" s="458"/>
      <c r="R725" s="458"/>
      <c r="S725" s="458"/>
      <c r="T725" s="458"/>
      <c r="U725" s="458"/>
      <c r="V725" s="78"/>
      <c r="W725" s="78"/>
      <c r="X725" s="78"/>
      <c r="Y725" s="78"/>
      <c r="Z725" s="78"/>
      <c r="AA725" s="78"/>
      <c r="AB725" s="78"/>
    </row>
    <row r="726" spans="1:36" s="44" customFormat="1" ht="108" customHeight="1" hidden="1">
      <c r="A726" s="43"/>
      <c r="B726" s="43"/>
      <c r="C726" s="43"/>
      <c r="D726" s="43"/>
      <c r="E726" s="43"/>
      <c r="F726" s="43"/>
      <c r="G726" s="43"/>
      <c r="H726" s="43"/>
      <c r="I726" s="43"/>
      <c r="J726" s="43"/>
      <c r="K726" s="16"/>
      <c r="L726" s="43"/>
      <c r="M726" s="411"/>
      <c r="N726" s="411"/>
      <c r="O726" s="411"/>
      <c r="P726" s="411"/>
      <c r="Q726" s="411"/>
      <c r="R726" s="411"/>
      <c r="S726" s="411"/>
      <c r="T726" s="411"/>
      <c r="U726" s="411"/>
      <c r="V726" s="78"/>
      <c r="W726" s="78"/>
      <c r="X726" s="78"/>
      <c r="Y726" s="78"/>
      <c r="Z726" s="78"/>
      <c r="AA726" s="78"/>
      <c r="AB726" s="78"/>
      <c r="AC726" s="75"/>
      <c r="AD726" s="75"/>
      <c r="AE726" s="75"/>
      <c r="AF726" s="75"/>
      <c r="AG726" s="75"/>
      <c r="AH726" s="75"/>
      <c r="AI726" s="75"/>
      <c r="AJ726" s="75"/>
    </row>
    <row r="727" spans="1:36" s="116" customFormat="1" ht="26.25" customHeight="1" hidden="1">
      <c r="A727" s="43"/>
      <c r="B727" s="43"/>
      <c r="C727" s="43"/>
      <c r="D727" s="43"/>
      <c r="E727" s="43"/>
      <c r="F727" s="43"/>
      <c r="G727" s="43"/>
      <c r="H727" s="43"/>
      <c r="I727" s="43"/>
      <c r="J727" s="43"/>
      <c r="K727" s="16"/>
      <c r="L727" s="43"/>
      <c r="M727" s="572" t="s">
        <v>688</v>
      </c>
      <c r="N727" s="572" t="s">
        <v>657</v>
      </c>
      <c r="O727" s="572" t="s">
        <v>609</v>
      </c>
      <c r="P727" s="572" t="s">
        <v>662</v>
      </c>
      <c r="Q727" s="572" t="s">
        <v>668</v>
      </c>
      <c r="R727" s="534"/>
      <c r="S727" s="534"/>
      <c r="T727" s="572" t="s">
        <v>695</v>
      </c>
      <c r="U727" s="572" t="s">
        <v>694</v>
      </c>
      <c r="V727" s="259"/>
      <c r="W727" s="259"/>
      <c r="X727" s="259"/>
      <c r="Y727" s="259"/>
      <c r="Z727" s="259"/>
      <c r="AA727" s="259"/>
      <c r="AB727" s="259"/>
      <c r="AC727" s="240"/>
      <c r="AD727" s="240"/>
      <c r="AE727" s="240"/>
      <c r="AF727" s="240"/>
      <c r="AG727" s="240"/>
      <c r="AH727" s="240"/>
      <c r="AI727" s="240"/>
      <c r="AJ727" s="240"/>
    </row>
    <row r="728" spans="1:36" s="44" customFormat="1" ht="45" customHeight="1">
      <c r="A728" s="43"/>
      <c r="B728" s="43"/>
      <c r="C728" s="43"/>
      <c r="D728" s="43"/>
      <c r="E728" s="43"/>
      <c r="F728" s="43"/>
      <c r="G728" s="43"/>
      <c r="H728" s="43"/>
      <c r="I728" s="43"/>
      <c r="J728" s="43"/>
      <c r="K728" s="16"/>
      <c r="L728" s="43"/>
      <c r="M728" s="573"/>
      <c r="N728" s="573"/>
      <c r="O728" s="573"/>
      <c r="P728" s="573"/>
      <c r="Q728" s="573"/>
      <c r="R728" s="533" t="s">
        <v>684</v>
      </c>
      <c r="S728" s="535" t="s">
        <v>686</v>
      </c>
      <c r="T728" s="573"/>
      <c r="U728" s="573"/>
      <c r="V728" s="78"/>
      <c r="W728" s="78"/>
      <c r="X728" s="78"/>
      <c r="Y728" s="78"/>
      <c r="Z728" s="78"/>
      <c r="AA728" s="78"/>
      <c r="AB728" s="78"/>
      <c r="AC728" s="75"/>
      <c r="AD728" s="75"/>
      <c r="AE728" s="75"/>
      <c r="AF728" s="75"/>
      <c r="AG728" s="75"/>
      <c r="AH728" s="75"/>
      <c r="AI728" s="75"/>
      <c r="AJ728" s="75"/>
    </row>
    <row r="729" spans="1:36" s="44" customFormat="1" ht="14.25">
      <c r="A729" s="111"/>
      <c r="B729" s="112"/>
      <c r="C729" s="112"/>
      <c r="D729" s="112"/>
      <c r="E729" s="112"/>
      <c r="F729" s="112"/>
      <c r="G729" s="112"/>
      <c r="H729" s="112"/>
      <c r="I729" s="112"/>
      <c r="J729" s="113"/>
      <c r="K729" s="114"/>
      <c r="L729" s="115"/>
      <c r="M729" s="115">
        <v>1</v>
      </c>
      <c r="N729" s="115">
        <v>2</v>
      </c>
      <c r="O729" s="115">
        <v>3</v>
      </c>
      <c r="P729" s="115">
        <v>3</v>
      </c>
      <c r="Q729" s="115">
        <v>4</v>
      </c>
      <c r="R729" s="115">
        <v>3</v>
      </c>
      <c r="S729" s="115">
        <v>4</v>
      </c>
      <c r="T729" s="115">
        <v>5</v>
      </c>
      <c r="U729" s="115">
        <v>6</v>
      </c>
      <c r="V729" s="78"/>
      <c r="W729" s="78"/>
      <c r="X729" s="78"/>
      <c r="Y729" s="78"/>
      <c r="Z729" s="78"/>
      <c r="AA729" s="78"/>
      <c r="AB729" s="78"/>
      <c r="AC729" s="75"/>
      <c r="AD729" s="75"/>
      <c r="AE729" s="75"/>
      <c r="AF729" s="75"/>
      <c r="AG729" s="75"/>
      <c r="AH729" s="75"/>
      <c r="AI729" s="75"/>
      <c r="AJ729" s="75"/>
    </row>
    <row r="730" spans="1:36" s="44" customFormat="1" ht="15.75">
      <c r="A730" s="100" t="s">
        <v>36</v>
      </c>
      <c r="B730" s="99"/>
      <c r="C730" s="62"/>
      <c r="D730" s="62"/>
      <c r="E730" s="62"/>
      <c r="F730" s="62"/>
      <c r="G730" s="62"/>
      <c r="H730" s="62"/>
      <c r="I730" s="62"/>
      <c r="J730" s="101"/>
      <c r="K730" s="104" t="s">
        <v>54</v>
      </c>
      <c r="L730" s="311" t="s">
        <v>630</v>
      </c>
      <c r="M730" s="435">
        <f aca="true" t="shared" si="303" ref="M730:S730">M36+M55+M71+M80+M95+M120+M124+M136+M150+M215+M228+M242-M158+M193+M208+M637+M319+M324</f>
        <v>821333.8642245671</v>
      </c>
      <c r="N730" s="435">
        <f t="shared" si="303"/>
        <v>591215.5696522663</v>
      </c>
      <c r="O730" s="435">
        <f t="shared" si="303"/>
        <v>3146455.200620479</v>
      </c>
      <c r="P730" s="435">
        <f t="shared" si="303"/>
        <v>612115.5696522663</v>
      </c>
      <c r="Q730" s="435">
        <f t="shared" si="303"/>
        <v>360045.85</v>
      </c>
      <c r="R730" s="435">
        <f t="shared" si="303"/>
        <v>594511.6299999999</v>
      </c>
      <c r="S730" s="435">
        <f t="shared" si="303"/>
        <v>594845.22</v>
      </c>
      <c r="T730" s="435">
        <f>S730/M730*100</f>
        <v>72.4242900372313</v>
      </c>
      <c r="U730" s="435">
        <f>S730/R730*100</f>
        <v>100.05611160205564</v>
      </c>
      <c r="V730" s="78"/>
      <c r="W730" s="78"/>
      <c r="X730" s="78"/>
      <c r="Y730" s="78"/>
      <c r="Z730" s="78"/>
      <c r="AA730" s="78"/>
      <c r="AB730" s="78"/>
      <c r="AC730" s="75"/>
      <c r="AD730" s="75"/>
      <c r="AE730" s="75"/>
      <c r="AF730" s="75"/>
      <c r="AG730" s="75"/>
      <c r="AH730" s="75"/>
      <c r="AI730" s="75"/>
      <c r="AJ730" s="75"/>
    </row>
    <row r="731" spans="1:36" s="44" customFormat="1" ht="15">
      <c r="A731" s="98" t="s">
        <v>153</v>
      </c>
      <c r="B731" s="85"/>
      <c r="C731" s="85"/>
      <c r="D731" s="85"/>
      <c r="E731" s="85"/>
      <c r="F731" s="85"/>
      <c r="G731" s="85"/>
      <c r="H731" s="85"/>
      <c r="I731" s="85"/>
      <c r="J731" s="86"/>
      <c r="K731" s="104" t="s">
        <v>54</v>
      </c>
      <c r="L731" s="311" t="s">
        <v>631</v>
      </c>
      <c r="M731" s="435">
        <f aca="true" t="shared" si="304" ref="M731:S731">M356</f>
        <v>0</v>
      </c>
      <c r="N731" s="435">
        <f t="shared" si="304"/>
        <v>663.6140420731302</v>
      </c>
      <c r="O731" s="435">
        <f t="shared" si="304"/>
        <v>5000</v>
      </c>
      <c r="P731" s="435">
        <f t="shared" si="304"/>
        <v>663.6140420731302</v>
      </c>
      <c r="Q731" s="435">
        <f t="shared" si="304"/>
        <v>0</v>
      </c>
      <c r="R731" s="435">
        <f t="shared" si="304"/>
        <v>0</v>
      </c>
      <c r="S731" s="435">
        <f t="shared" si="304"/>
        <v>0</v>
      </c>
      <c r="T731" s="435" t="e">
        <f aca="true" t="shared" si="305" ref="T731:T740">S731/M731*100</f>
        <v>#DIV/0!</v>
      </c>
      <c r="U731" s="435" t="e">
        <f aca="true" t="shared" si="306" ref="U731:U740">S731/R731*100</f>
        <v>#DIV/0!</v>
      </c>
      <c r="V731" s="78"/>
      <c r="W731" s="78"/>
      <c r="X731" s="78"/>
      <c r="Y731" s="78"/>
      <c r="Z731" s="78"/>
      <c r="AA731" s="78"/>
      <c r="AB731" s="78"/>
      <c r="AC731" s="75"/>
      <c r="AD731" s="75"/>
      <c r="AE731" s="75"/>
      <c r="AF731" s="75"/>
      <c r="AG731" s="75"/>
      <c r="AH731" s="75"/>
      <c r="AI731" s="75"/>
      <c r="AJ731" s="75"/>
    </row>
    <row r="732" spans="1:36" s="44" customFormat="1" ht="15">
      <c r="A732" s="98" t="s">
        <v>301</v>
      </c>
      <c r="B732" s="85"/>
      <c r="C732" s="85"/>
      <c r="D732" s="85"/>
      <c r="E732" s="85"/>
      <c r="F732" s="85"/>
      <c r="G732" s="85"/>
      <c r="H732" s="85"/>
      <c r="I732" s="85"/>
      <c r="J732" s="86"/>
      <c r="K732" s="104" t="s">
        <v>54</v>
      </c>
      <c r="L732" s="311" t="s">
        <v>632</v>
      </c>
      <c r="M732" s="435">
        <f aca="true" t="shared" si="307" ref="M732:S732">M346+M350+M662</f>
        <v>63416.68325701772</v>
      </c>
      <c r="N732" s="435">
        <f t="shared" si="307"/>
        <v>66361.40420731303</v>
      </c>
      <c r="O732" s="435">
        <f t="shared" si="307"/>
        <v>500000</v>
      </c>
      <c r="P732" s="435">
        <f t="shared" si="307"/>
        <v>66361.40420731303</v>
      </c>
      <c r="Q732" s="435">
        <f t="shared" si="307"/>
        <v>37475</v>
      </c>
      <c r="R732" s="435">
        <f t="shared" si="307"/>
        <v>69400</v>
      </c>
      <c r="S732" s="435">
        <f t="shared" si="307"/>
        <v>69475</v>
      </c>
      <c r="T732" s="435">
        <f t="shared" si="305"/>
        <v>109.55319078802795</v>
      </c>
      <c r="U732" s="435">
        <f t="shared" si="306"/>
        <v>100.10806916426513</v>
      </c>
      <c r="V732" s="78"/>
      <c r="W732" s="78"/>
      <c r="X732" s="78"/>
      <c r="Y732" s="78"/>
      <c r="Z732" s="78"/>
      <c r="AA732" s="78"/>
      <c r="AB732" s="78"/>
      <c r="AC732" s="75"/>
      <c r="AD732" s="75"/>
      <c r="AE732" s="75"/>
      <c r="AF732" s="75"/>
      <c r="AG732" s="75"/>
      <c r="AH732" s="75"/>
      <c r="AI732" s="75"/>
      <c r="AJ732" s="75"/>
    </row>
    <row r="733" spans="1:36" s="44" customFormat="1" ht="15">
      <c r="A733" s="98" t="s">
        <v>302</v>
      </c>
      <c r="B733" s="85"/>
      <c r="C733" s="85"/>
      <c r="D733" s="85"/>
      <c r="E733" s="85"/>
      <c r="F733" s="85"/>
      <c r="G733" s="85"/>
      <c r="H733" s="85"/>
      <c r="I733" s="85"/>
      <c r="J733" s="86"/>
      <c r="K733" s="104" t="s">
        <v>54</v>
      </c>
      <c r="L733" s="311" t="s">
        <v>633</v>
      </c>
      <c r="M733" s="435">
        <f aca="true" t="shared" si="308" ref="M733:S733">M267+M158+M531-M527-M528+M314+M333+M238</f>
        <v>68142.80974185413</v>
      </c>
      <c r="N733" s="435">
        <f t="shared" si="308"/>
        <v>323843.6393012145</v>
      </c>
      <c r="O733" s="435">
        <f t="shared" si="308"/>
        <v>1232905.9604207315</v>
      </c>
      <c r="P733" s="435">
        <f t="shared" si="308"/>
        <v>265804.71528170415</v>
      </c>
      <c r="Q733" s="435">
        <f t="shared" si="308"/>
        <v>60817.4</v>
      </c>
      <c r="R733" s="435">
        <f t="shared" si="308"/>
        <v>136573.44</v>
      </c>
      <c r="S733" s="435">
        <f t="shared" si="308"/>
        <v>127523.99999999999</v>
      </c>
      <c r="T733" s="435">
        <f t="shared" si="305"/>
        <v>187.14226854322564</v>
      </c>
      <c r="U733" s="435">
        <f t="shared" si="306"/>
        <v>93.37393859303829</v>
      </c>
      <c r="V733" s="78"/>
      <c r="W733" s="78"/>
      <c r="X733" s="78"/>
      <c r="Y733" s="78"/>
      <c r="Z733" s="78"/>
      <c r="AA733" s="78"/>
      <c r="AB733" s="78"/>
      <c r="AC733" s="75"/>
      <c r="AD733" s="75"/>
      <c r="AE733" s="75"/>
      <c r="AF733" s="75"/>
      <c r="AG733" s="75"/>
      <c r="AH733" s="75"/>
      <c r="AI733" s="75"/>
      <c r="AJ733" s="75"/>
    </row>
    <row r="734" spans="1:36" s="44" customFormat="1" ht="15" customHeight="1">
      <c r="A734" s="98" t="s">
        <v>303</v>
      </c>
      <c r="B734" s="85"/>
      <c r="C734" s="85"/>
      <c r="D734" s="85"/>
      <c r="E734" s="85"/>
      <c r="F734" s="85"/>
      <c r="G734" s="85"/>
      <c r="H734" s="85"/>
      <c r="I734" s="85"/>
      <c r="J734" s="86"/>
      <c r="K734" s="104" t="s">
        <v>54</v>
      </c>
      <c r="L734" s="311" t="s">
        <v>634</v>
      </c>
      <c r="M734" s="435">
        <f aca="true" t="shared" si="309" ref="M734:S734">M495+M508+M474+M527+M528+M433</f>
        <v>36584.113079832765</v>
      </c>
      <c r="N734" s="435">
        <f t="shared" si="309"/>
        <v>121815.38958466858</v>
      </c>
      <c r="O734" s="435">
        <f t="shared" si="309"/>
        <v>2065236.28</v>
      </c>
      <c r="P734" s="435">
        <f t="shared" si="309"/>
        <v>141381.15070674894</v>
      </c>
      <c r="Q734" s="435">
        <f t="shared" si="309"/>
        <v>33152.47</v>
      </c>
      <c r="R734" s="435">
        <f t="shared" si="309"/>
        <v>98962.3</v>
      </c>
      <c r="S734" s="435">
        <f t="shared" si="309"/>
        <v>53551.79</v>
      </c>
      <c r="T734" s="435">
        <f t="shared" si="305"/>
        <v>146.37990507830781</v>
      </c>
      <c r="U734" s="435">
        <f t="shared" si="306"/>
        <v>54.11332396276157</v>
      </c>
      <c r="V734" s="78"/>
      <c r="W734" s="78"/>
      <c r="X734" s="78"/>
      <c r="Y734" s="78"/>
      <c r="Z734" s="78"/>
      <c r="AA734" s="78"/>
      <c r="AB734" s="78"/>
      <c r="AC734" s="75"/>
      <c r="AD734" s="75"/>
      <c r="AE734" s="75"/>
      <c r="AF734" s="75"/>
      <c r="AG734" s="75"/>
      <c r="AH734" s="75"/>
      <c r="AI734" s="75"/>
      <c r="AJ734" s="75"/>
    </row>
    <row r="735" spans="1:36" s="44" customFormat="1" ht="17.25" customHeight="1">
      <c r="A735" s="98" t="s">
        <v>300</v>
      </c>
      <c r="B735" s="85"/>
      <c r="C735" s="85"/>
      <c r="D735" s="85"/>
      <c r="E735" s="85"/>
      <c r="F735" s="85"/>
      <c r="G735" s="85"/>
      <c r="H735" s="85"/>
      <c r="I735" s="85"/>
      <c r="J735" s="86"/>
      <c r="K735" s="104" t="s">
        <v>54</v>
      </c>
      <c r="L735" s="311" t="s">
        <v>635</v>
      </c>
      <c r="M735" s="435">
        <f aca="true" t="shared" si="310" ref="M735:S735">M220+M286+M379+M440+M448-M440+M406+M460+M553+M559+M566+M574+M582+M301</f>
        <v>527690.755856394</v>
      </c>
      <c r="N735" s="435">
        <f t="shared" si="310"/>
        <v>590697.3806279434</v>
      </c>
      <c r="O735" s="435">
        <f t="shared" si="310"/>
        <v>4249992.94483841</v>
      </c>
      <c r="P735" s="435">
        <f t="shared" si="310"/>
        <v>736798.7663302143</v>
      </c>
      <c r="Q735" s="435">
        <f t="shared" si="310"/>
        <v>196107.90000000002</v>
      </c>
      <c r="R735" s="435">
        <f t="shared" si="310"/>
        <v>576695.38</v>
      </c>
      <c r="S735" s="435">
        <f t="shared" si="310"/>
        <v>548402.98</v>
      </c>
      <c r="T735" s="435">
        <f t="shared" si="305"/>
        <v>103.92506859628267</v>
      </c>
      <c r="U735" s="435">
        <f t="shared" si="306"/>
        <v>95.09404774492904</v>
      </c>
      <c r="V735" s="78"/>
      <c r="W735" s="78"/>
      <c r="X735" s="78"/>
      <c r="Y735" s="78"/>
      <c r="Z735" s="78"/>
      <c r="AA735" s="78"/>
      <c r="AB735" s="78"/>
      <c r="AC735" s="75"/>
      <c r="AD735" s="75"/>
      <c r="AE735" s="75"/>
      <c r="AF735" s="75"/>
      <c r="AG735" s="75"/>
      <c r="AH735" s="75"/>
      <c r="AI735" s="75"/>
      <c r="AJ735" s="75"/>
    </row>
    <row r="736" spans="1:36" s="44" customFormat="1" ht="15">
      <c r="A736" s="548" t="s">
        <v>304</v>
      </c>
      <c r="B736" s="549"/>
      <c r="C736" s="549"/>
      <c r="D736" s="549"/>
      <c r="E736" s="549"/>
      <c r="F736" s="549"/>
      <c r="G736" s="549"/>
      <c r="H736" s="549"/>
      <c r="I736" s="549"/>
      <c r="J736" s="550"/>
      <c r="K736" s="104" t="s">
        <v>54</v>
      </c>
      <c r="L736" s="311" t="s">
        <v>636</v>
      </c>
      <c r="M736" s="435">
        <f aca="true" t="shared" si="311" ref="M736:S736">M708+M207</f>
        <v>9488.884464795274</v>
      </c>
      <c r="N736" s="435">
        <f t="shared" si="311"/>
        <v>17253.965093901385</v>
      </c>
      <c r="O736" s="435">
        <f t="shared" si="311"/>
        <v>130000</v>
      </c>
      <c r="P736" s="435">
        <f t="shared" si="311"/>
        <v>17253.965093901385</v>
      </c>
      <c r="Q736" s="435">
        <f t="shared" si="311"/>
        <v>6543.6</v>
      </c>
      <c r="R736" s="435">
        <f t="shared" si="311"/>
        <v>17194.95</v>
      </c>
      <c r="S736" s="435">
        <f t="shared" si="311"/>
        <v>12038.640000000001</v>
      </c>
      <c r="T736" s="435">
        <f t="shared" si="305"/>
        <v>126.87097250118894</v>
      </c>
      <c r="U736" s="435">
        <f t="shared" si="306"/>
        <v>70.01264906266084</v>
      </c>
      <c r="V736" s="78"/>
      <c r="W736" s="78"/>
      <c r="X736" s="78"/>
      <c r="Y736" s="78"/>
      <c r="Z736" s="78"/>
      <c r="AA736" s="78"/>
      <c r="AB736" s="78"/>
      <c r="AC736" s="75"/>
      <c r="AD736" s="75"/>
      <c r="AE736" s="75"/>
      <c r="AF736" s="75"/>
      <c r="AG736" s="75"/>
      <c r="AH736" s="75"/>
      <c r="AI736" s="75"/>
      <c r="AJ736" s="75"/>
    </row>
    <row r="737" spans="1:36" s="44" customFormat="1" ht="15">
      <c r="A737" s="548" t="s">
        <v>376</v>
      </c>
      <c r="B737" s="560"/>
      <c r="C737" s="560"/>
      <c r="D737" s="560"/>
      <c r="E737" s="560"/>
      <c r="F737" s="560"/>
      <c r="G737" s="560"/>
      <c r="H737" s="560"/>
      <c r="I737" s="560"/>
      <c r="J737" s="561"/>
      <c r="K737" s="303" t="s">
        <v>54</v>
      </c>
      <c r="L737" s="304" t="s">
        <v>637</v>
      </c>
      <c r="M737" s="436">
        <f aca="true" t="shared" si="312" ref="M737:S737">M654</f>
        <v>24635.078638263985</v>
      </c>
      <c r="N737" s="436">
        <f t="shared" si="312"/>
        <v>114141.6142524388</v>
      </c>
      <c r="O737" s="436">
        <f t="shared" si="312"/>
        <v>729908.42</v>
      </c>
      <c r="P737" s="436">
        <f t="shared" si="312"/>
        <v>131277.1139743845</v>
      </c>
      <c r="Q737" s="436">
        <f t="shared" si="312"/>
        <v>70054.45</v>
      </c>
      <c r="R737" s="436">
        <f t="shared" si="312"/>
        <v>108210.01</v>
      </c>
      <c r="S737" s="436">
        <f t="shared" si="312"/>
        <v>125123.64</v>
      </c>
      <c r="T737" s="435">
        <f t="shared" si="305"/>
        <v>507.90842536891273</v>
      </c>
      <c r="U737" s="435">
        <f t="shared" si="306"/>
        <v>115.63037467605817</v>
      </c>
      <c r="V737" s="78"/>
      <c r="W737" s="78"/>
      <c r="X737" s="78"/>
      <c r="Y737" s="78"/>
      <c r="Z737" s="78"/>
      <c r="AA737" s="78"/>
      <c r="AB737" s="78"/>
      <c r="AC737" s="75"/>
      <c r="AD737" s="75"/>
      <c r="AE737" s="75"/>
      <c r="AF737" s="75"/>
      <c r="AG737" s="75"/>
      <c r="AH737" s="75"/>
      <c r="AI737" s="75"/>
      <c r="AJ737" s="75"/>
    </row>
    <row r="738" spans="1:36" s="44" customFormat="1" ht="15">
      <c r="A738" s="98" t="s">
        <v>377</v>
      </c>
      <c r="B738" s="85"/>
      <c r="C738" s="85"/>
      <c r="D738" s="85"/>
      <c r="E738" s="85"/>
      <c r="F738" s="85"/>
      <c r="G738" s="85"/>
      <c r="H738" s="85"/>
      <c r="I738" s="85"/>
      <c r="J738" s="86"/>
      <c r="K738" s="104" t="s">
        <v>54</v>
      </c>
      <c r="L738" s="311" t="s">
        <v>638</v>
      </c>
      <c r="M738" s="435">
        <f aca="true" t="shared" si="313" ref="M738:S738">M600+M616</f>
        <v>94702.63118322384</v>
      </c>
      <c r="N738" s="435">
        <f t="shared" si="313"/>
        <v>91857.84945450925</v>
      </c>
      <c r="O738" s="435">
        <f t="shared" si="313"/>
        <v>692103</v>
      </c>
      <c r="P738" s="435">
        <f t="shared" si="313"/>
        <v>91857.85387218793</v>
      </c>
      <c r="Q738" s="435">
        <f t="shared" si="313"/>
        <v>57348.33</v>
      </c>
      <c r="R738" s="435">
        <f t="shared" si="313"/>
        <v>129480.26000000001</v>
      </c>
      <c r="S738" s="435">
        <f t="shared" si="313"/>
        <v>125867.36</v>
      </c>
      <c r="T738" s="435">
        <f t="shared" si="305"/>
        <v>132.90798621685693</v>
      </c>
      <c r="U738" s="435">
        <f t="shared" si="306"/>
        <v>97.20969049645096</v>
      </c>
      <c r="V738" s="78"/>
      <c r="W738" s="78"/>
      <c r="X738" s="78"/>
      <c r="Y738" s="78"/>
      <c r="Z738" s="78"/>
      <c r="AA738" s="78"/>
      <c r="AB738" s="78"/>
      <c r="AC738" s="75"/>
      <c r="AD738" s="75"/>
      <c r="AE738" s="75"/>
      <c r="AF738" s="75"/>
      <c r="AG738" s="75"/>
      <c r="AH738" s="75"/>
      <c r="AI738" s="75"/>
      <c r="AJ738" s="75"/>
    </row>
    <row r="739" spans="1:36" s="44" customFormat="1" ht="15">
      <c r="A739" s="102"/>
      <c r="B739" s="103"/>
      <c r="C739" s="103"/>
      <c r="D739" s="103"/>
      <c r="E739" s="103"/>
      <c r="F739" s="103"/>
      <c r="G739" s="103"/>
      <c r="H739" s="103"/>
      <c r="I739" s="103"/>
      <c r="J739" s="61"/>
      <c r="K739" s="104" t="s">
        <v>54</v>
      </c>
      <c r="L739" s="311" t="s">
        <v>639</v>
      </c>
      <c r="M739" s="435">
        <f aca="true" t="shared" si="314" ref="M739:S739">M626+M670+M696+M200-M207</f>
        <v>27005.640719357616</v>
      </c>
      <c r="N739" s="435">
        <f t="shared" si="314"/>
        <v>106576.41515694471</v>
      </c>
      <c r="O739" s="435">
        <f t="shared" si="314"/>
        <v>388441.50242219126</v>
      </c>
      <c r="P739" s="435">
        <f t="shared" si="314"/>
        <v>106576.41515694471</v>
      </c>
      <c r="Q739" s="435">
        <f t="shared" si="314"/>
        <v>11281.38</v>
      </c>
      <c r="R739" s="435">
        <f t="shared" si="314"/>
        <v>25737.190000000002</v>
      </c>
      <c r="S739" s="435">
        <f t="shared" si="314"/>
        <v>25053.58</v>
      </c>
      <c r="T739" s="435">
        <f t="shared" si="305"/>
        <v>92.77165559727536</v>
      </c>
      <c r="U739" s="435">
        <f t="shared" si="306"/>
        <v>97.34388252952245</v>
      </c>
      <c r="V739" s="78"/>
      <c r="W739" s="78"/>
      <c r="X739" s="78"/>
      <c r="Y739" s="78"/>
      <c r="Z739" s="78"/>
      <c r="AA739" s="78"/>
      <c r="AB739" s="78"/>
      <c r="AC739" s="75"/>
      <c r="AD739" s="75"/>
      <c r="AE739" s="75"/>
      <c r="AF739" s="75"/>
      <c r="AG739" s="75"/>
      <c r="AH739" s="75"/>
      <c r="AI739" s="75"/>
      <c r="AJ739" s="75"/>
    </row>
    <row r="740" spans="1:36" s="44" customFormat="1" ht="15.75" customHeight="1">
      <c r="A740" s="43"/>
      <c r="B740" s="43"/>
      <c r="C740" s="43"/>
      <c r="D740" s="43"/>
      <c r="E740" s="43"/>
      <c r="F740" s="43"/>
      <c r="G740" s="43"/>
      <c r="H740" s="43"/>
      <c r="I740" s="43"/>
      <c r="J740" s="43"/>
      <c r="K740" s="37"/>
      <c r="L740" s="74"/>
      <c r="M740" s="434">
        <f aca="true" t="shared" si="315" ref="M740:S740">SUM(M730:M739)</f>
        <v>1673000.4611653064</v>
      </c>
      <c r="N740" s="434">
        <f t="shared" si="315"/>
        <v>2024426.8413732732</v>
      </c>
      <c r="O740" s="434">
        <f t="shared" si="315"/>
        <v>13140043.308301812</v>
      </c>
      <c r="P740" s="434">
        <f t="shared" si="315"/>
        <v>2170090.5683177384</v>
      </c>
      <c r="Q740" s="434">
        <f t="shared" si="315"/>
        <v>832826.3799999999</v>
      </c>
      <c r="R740" s="434">
        <f t="shared" si="315"/>
        <v>1756765.16</v>
      </c>
      <c r="S740" s="434">
        <f t="shared" si="315"/>
        <v>1681882.21</v>
      </c>
      <c r="T740" s="432">
        <f t="shared" si="305"/>
        <v>100.5308874110236</v>
      </c>
      <c r="U740" s="434">
        <f t="shared" si="306"/>
        <v>95.73745246632738</v>
      </c>
      <c r="V740" s="78"/>
      <c r="W740" s="78"/>
      <c r="X740" s="78"/>
      <c r="Y740" s="78"/>
      <c r="Z740" s="78"/>
      <c r="AA740" s="78"/>
      <c r="AB740" s="78"/>
      <c r="AC740" s="75"/>
      <c r="AD740" s="75"/>
      <c r="AE740" s="75"/>
      <c r="AF740" s="75"/>
      <c r="AG740" s="75"/>
      <c r="AH740" s="75"/>
      <c r="AI740" s="75"/>
      <c r="AJ740" s="75"/>
    </row>
    <row r="741" spans="1:36" s="44" customFormat="1" ht="15">
      <c r="A741" s="43"/>
      <c r="B741" s="43"/>
      <c r="C741" s="43"/>
      <c r="D741" s="43"/>
      <c r="E741" s="43"/>
      <c r="F741" s="43"/>
      <c r="G741" s="43"/>
      <c r="H741" s="43"/>
      <c r="I741" s="43"/>
      <c r="J741" s="43"/>
      <c r="K741" s="16"/>
      <c r="L741" s="43"/>
      <c r="M741" s="411"/>
      <c r="N741" s="411"/>
      <c r="O741" s="411"/>
      <c r="P741" s="411"/>
      <c r="Q741" s="411"/>
      <c r="R741" s="411"/>
      <c r="S741" s="411"/>
      <c r="T741" s="411"/>
      <c r="U741" s="411"/>
      <c r="V741" s="78"/>
      <c r="W741" s="78"/>
      <c r="X741" s="78"/>
      <c r="Y741" s="78"/>
      <c r="Z741" s="78"/>
      <c r="AA741" s="78"/>
      <c r="AB741" s="78"/>
      <c r="AC741" s="75"/>
      <c r="AD741" s="75"/>
      <c r="AE741" s="75"/>
      <c r="AF741" s="75"/>
      <c r="AG741" s="75"/>
      <c r="AH741" s="75"/>
      <c r="AI741" s="75"/>
      <c r="AJ741" s="75"/>
    </row>
    <row r="742" spans="1:36" s="44" customFormat="1" ht="0.75" customHeight="1">
      <c r="A742" s="603" t="s">
        <v>94</v>
      </c>
      <c r="B742" s="603"/>
      <c r="C742" s="603"/>
      <c r="D742" s="603"/>
      <c r="E742" s="603"/>
      <c r="F742" s="603"/>
      <c r="G742" s="603"/>
      <c r="H742" s="603"/>
      <c r="I742" s="603"/>
      <c r="J742" s="603"/>
      <c r="K742" s="603"/>
      <c r="L742" s="603"/>
      <c r="M742" s="603"/>
      <c r="N742" s="603"/>
      <c r="O742" s="416"/>
      <c r="P742" s="416"/>
      <c r="Q742" s="416"/>
      <c r="R742" s="416"/>
      <c r="S742" s="416"/>
      <c r="T742" s="416"/>
      <c r="U742" s="416"/>
      <c r="V742" s="78"/>
      <c r="W742" s="78"/>
      <c r="X742" s="78"/>
      <c r="Y742" s="78"/>
      <c r="Z742" s="78"/>
      <c r="AA742" s="78"/>
      <c r="AB742" s="78"/>
      <c r="AC742" s="75"/>
      <c r="AD742" s="75"/>
      <c r="AE742" s="75"/>
      <c r="AF742" s="75"/>
      <c r="AG742" s="75"/>
      <c r="AH742" s="75"/>
      <c r="AI742" s="75"/>
      <c r="AJ742" s="75"/>
    </row>
    <row r="743" spans="1:36" s="44" customFormat="1" ht="21.75" customHeight="1">
      <c r="A743" s="622" t="s">
        <v>702</v>
      </c>
      <c r="B743" s="622"/>
      <c r="C743" s="622"/>
      <c r="D743" s="622"/>
      <c r="E743" s="622"/>
      <c r="F743" s="622"/>
      <c r="G743" s="622"/>
      <c r="H743" s="622"/>
      <c r="I743" s="622"/>
      <c r="J743" s="622"/>
      <c r="K743" s="622"/>
      <c r="L743" s="622"/>
      <c r="M743" s="622"/>
      <c r="N743" s="622"/>
      <c r="O743" s="622"/>
      <c r="P743" s="622"/>
      <c r="Q743" s="417"/>
      <c r="R743" s="417"/>
      <c r="S743" s="417"/>
      <c r="T743" s="417"/>
      <c r="U743" s="417"/>
      <c r="V743" s="78"/>
      <c r="W743" s="78"/>
      <c r="X743" s="78"/>
      <c r="Y743" s="78"/>
      <c r="Z743" s="78"/>
      <c r="AA743" s="78"/>
      <c r="AB743" s="78"/>
      <c r="AC743" s="75"/>
      <c r="AD743" s="75"/>
      <c r="AE743" s="75"/>
      <c r="AF743" s="75"/>
      <c r="AG743" s="75"/>
      <c r="AH743" s="75"/>
      <c r="AI743" s="75"/>
      <c r="AJ743" s="75"/>
    </row>
    <row r="744" spans="1:36" s="66" customFormat="1" ht="15" customHeight="1" hidden="1">
      <c r="A744" s="622"/>
      <c r="B744" s="622"/>
      <c r="C744" s="622"/>
      <c r="D744" s="622"/>
      <c r="E744" s="622"/>
      <c r="F744" s="622"/>
      <c r="G744" s="622"/>
      <c r="H744" s="622"/>
      <c r="I744" s="622"/>
      <c r="J744" s="622"/>
      <c r="K744" s="622"/>
      <c r="L744" s="622"/>
      <c r="M744" s="622"/>
      <c r="N744" s="622"/>
      <c r="O744" s="622"/>
      <c r="P744" s="622"/>
      <c r="Q744" s="417"/>
      <c r="R744" s="417"/>
      <c r="S744" s="417"/>
      <c r="T744" s="417"/>
      <c r="U744" s="417"/>
      <c r="V744" s="260"/>
      <c r="W744" s="260"/>
      <c r="X744" s="260"/>
      <c r="Y744" s="260"/>
      <c r="Z744" s="260"/>
      <c r="AA744" s="260"/>
      <c r="AB744" s="260"/>
      <c r="AC744" s="241"/>
      <c r="AD744" s="241"/>
      <c r="AE744" s="241"/>
      <c r="AF744" s="241"/>
      <c r="AG744" s="241"/>
      <c r="AH744" s="241"/>
      <c r="AI744" s="241"/>
      <c r="AJ744" s="241"/>
    </row>
    <row r="745" spans="1:36" s="66" customFormat="1" ht="14.25" hidden="1">
      <c r="A745" s="43"/>
      <c r="B745" s="43"/>
      <c r="C745" s="43"/>
      <c r="D745" s="43"/>
      <c r="E745" s="43"/>
      <c r="F745" s="43"/>
      <c r="G745" s="43"/>
      <c r="H745" s="43"/>
      <c r="I745" s="43"/>
      <c r="J745" s="624" t="s">
        <v>626</v>
      </c>
      <c r="K745" s="624"/>
      <c r="L745" s="624"/>
      <c r="M745" s="624"/>
      <c r="N745" s="624"/>
      <c r="O745" s="624"/>
      <c r="P745" s="418"/>
      <c r="Q745" s="418"/>
      <c r="R745" s="418"/>
      <c r="S745" s="418"/>
      <c r="T745" s="418"/>
      <c r="U745" s="418"/>
      <c r="V745" s="260"/>
      <c r="W745" s="260"/>
      <c r="X745" s="260"/>
      <c r="Y745" s="260"/>
      <c r="Z745" s="260"/>
      <c r="AA745" s="260"/>
      <c r="AB745" s="260"/>
      <c r="AC745" s="241"/>
      <c r="AD745" s="241"/>
      <c r="AE745" s="241"/>
      <c r="AF745" s="241"/>
      <c r="AG745" s="241"/>
      <c r="AH745" s="241"/>
      <c r="AI745" s="241"/>
      <c r="AJ745" s="241"/>
    </row>
    <row r="746" spans="1:36" s="66" customFormat="1" ht="15" customHeight="1">
      <c r="A746" s="117" t="s">
        <v>366</v>
      </c>
      <c r="B746" s="620" t="s">
        <v>705</v>
      </c>
      <c r="C746" s="620"/>
      <c r="D746" s="620"/>
      <c r="E746" s="620"/>
      <c r="F746" s="620"/>
      <c r="G746" s="620"/>
      <c r="H746" s="620"/>
      <c r="I746" s="620"/>
      <c r="J746" s="305"/>
      <c r="K746" s="305"/>
      <c r="L746" s="305" t="s">
        <v>627</v>
      </c>
      <c r="M746" s="621"/>
      <c r="N746" s="621"/>
      <c r="O746" s="621"/>
      <c r="P746" s="418"/>
      <c r="Q746" s="418"/>
      <c r="R746" s="418"/>
      <c r="S746" s="418"/>
      <c r="T746" s="418"/>
      <c r="U746" s="418"/>
      <c r="V746" s="260"/>
      <c r="W746" s="260"/>
      <c r="X746" s="260"/>
      <c r="Y746" s="260"/>
      <c r="Z746" s="260"/>
      <c r="AA746" s="260"/>
      <c r="AB746" s="260"/>
      <c r="AC746" s="241"/>
      <c r="AD746" s="241"/>
      <c r="AE746" s="241"/>
      <c r="AF746" s="241"/>
      <c r="AG746" s="241"/>
      <c r="AH746" s="241"/>
      <c r="AI746" s="241"/>
      <c r="AJ746" s="241"/>
    </row>
    <row r="747" spans="1:36" s="44" customFormat="1" ht="15" customHeight="1">
      <c r="A747" s="117" t="s">
        <v>367</v>
      </c>
      <c r="B747" s="620" t="s">
        <v>703</v>
      </c>
      <c r="C747" s="620"/>
      <c r="D747" s="620"/>
      <c r="E747" s="620"/>
      <c r="F747" s="620"/>
      <c r="G747" s="620"/>
      <c r="H747" s="620"/>
      <c r="I747" s="620"/>
      <c r="J747" s="16" t="s">
        <v>492</v>
      </c>
      <c r="K747" s="16"/>
      <c r="L747" s="305" t="s">
        <v>656</v>
      </c>
      <c r="M747" s="418"/>
      <c r="N747" s="418"/>
      <c r="O747" s="418"/>
      <c r="P747" s="418"/>
      <c r="Q747" s="418"/>
      <c r="R747" s="418"/>
      <c r="S747" s="418"/>
      <c r="T747" s="418"/>
      <c r="U747" s="418"/>
      <c r="V747" s="78"/>
      <c r="W747" s="78"/>
      <c r="X747" s="78"/>
      <c r="Y747" s="78"/>
      <c r="Z747" s="78"/>
      <c r="AA747" s="78"/>
      <c r="AB747" s="78"/>
      <c r="AC747" s="75"/>
      <c r="AD747" s="75"/>
      <c r="AE747" s="75"/>
      <c r="AF747" s="75"/>
      <c r="AG747" s="75"/>
      <c r="AH747" s="75"/>
      <c r="AI747" s="75"/>
      <c r="AJ747" s="75"/>
    </row>
    <row r="748" spans="1:36" s="44" customFormat="1" ht="14.25">
      <c r="A748" s="117" t="s">
        <v>706</v>
      </c>
      <c r="B748" s="117"/>
      <c r="C748" s="118"/>
      <c r="D748" s="117"/>
      <c r="E748" s="43"/>
      <c r="F748" s="43"/>
      <c r="G748" s="43"/>
      <c r="H748" s="43"/>
      <c r="I748" s="43"/>
      <c r="J748" s="16"/>
      <c r="K748" s="16"/>
      <c r="L748" s="16"/>
      <c r="M748" s="418"/>
      <c r="N748" s="418"/>
      <c r="O748" s="418"/>
      <c r="P748" s="418"/>
      <c r="Q748" s="418"/>
      <c r="R748" s="418"/>
      <c r="S748" s="418"/>
      <c r="T748" s="418"/>
      <c r="U748" s="418"/>
      <c r="V748" s="78"/>
      <c r="W748" s="78"/>
      <c r="X748" s="78"/>
      <c r="Y748" s="78"/>
      <c r="Z748" s="78"/>
      <c r="AA748" s="78"/>
      <c r="AB748" s="78"/>
      <c r="AC748" s="75"/>
      <c r="AD748" s="75"/>
      <c r="AE748" s="75"/>
      <c r="AF748" s="75"/>
      <c r="AG748" s="75"/>
      <c r="AH748" s="75"/>
      <c r="AI748" s="75"/>
      <c r="AJ748" s="75"/>
    </row>
    <row r="749" spans="1:36" s="44" customFormat="1" ht="14.25">
      <c r="A749" s="43"/>
      <c r="B749" s="43"/>
      <c r="C749" s="43"/>
      <c r="D749" s="43"/>
      <c r="E749" s="43"/>
      <c r="F749" s="43"/>
      <c r="G749" s="43"/>
      <c r="H749" s="43"/>
      <c r="I749" s="43"/>
      <c r="J749" s="16" t="s">
        <v>497</v>
      </c>
      <c r="K749" s="16"/>
      <c r="L749" s="305" t="s">
        <v>652</v>
      </c>
      <c r="M749" s="418"/>
      <c r="N749" s="418"/>
      <c r="O749" s="418"/>
      <c r="P749" s="418"/>
      <c r="Q749" s="418"/>
      <c r="R749" s="418"/>
      <c r="S749" s="418"/>
      <c r="T749" s="418"/>
      <c r="U749" s="418"/>
      <c r="V749" s="78"/>
      <c r="W749" s="78"/>
      <c r="X749" s="78"/>
      <c r="Y749" s="78"/>
      <c r="Z749" s="78"/>
      <c r="AA749" s="78"/>
      <c r="AB749" s="78"/>
      <c r="AC749" s="75"/>
      <c r="AD749" s="75"/>
      <c r="AE749" s="75"/>
      <c r="AF749" s="75"/>
      <c r="AG749" s="75"/>
      <c r="AH749" s="75"/>
      <c r="AI749" s="75"/>
      <c r="AJ749" s="75"/>
    </row>
    <row r="750" spans="1:36" s="44" customFormat="1" ht="15">
      <c r="A750" s="267"/>
      <c r="B750" s="267"/>
      <c r="C750" s="267"/>
      <c r="D750" s="43"/>
      <c r="E750" s="43"/>
      <c r="F750" s="43"/>
      <c r="G750" s="43"/>
      <c r="H750" s="43"/>
      <c r="I750" s="43"/>
      <c r="J750" s="43"/>
      <c r="K750" s="16"/>
      <c r="L750" s="43"/>
      <c r="M750" s="411"/>
      <c r="N750" s="411"/>
      <c r="O750" s="411"/>
      <c r="P750" s="411"/>
      <c r="Q750" s="411"/>
      <c r="R750" s="411"/>
      <c r="S750" s="411"/>
      <c r="T750" s="411"/>
      <c r="U750" s="411"/>
      <c r="V750" s="78"/>
      <c r="W750" s="78"/>
      <c r="X750" s="78"/>
      <c r="Y750" s="78"/>
      <c r="Z750" s="78"/>
      <c r="AA750" s="78"/>
      <c r="AB750" s="78"/>
      <c r="AC750" s="75"/>
      <c r="AD750" s="75"/>
      <c r="AE750" s="75"/>
      <c r="AF750" s="75"/>
      <c r="AG750" s="75"/>
      <c r="AH750" s="75"/>
      <c r="AI750" s="75"/>
      <c r="AJ750" s="75"/>
    </row>
    <row r="751" spans="1:36" s="44" customFormat="1" ht="15">
      <c r="A751" s="266"/>
      <c r="B751" s="266"/>
      <c r="C751" s="266"/>
      <c r="D751" s="74"/>
      <c r="E751" s="74"/>
      <c r="F751" s="43"/>
      <c r="G751" s="43"/>
      <c r="H751" s="43"/>
      <c r="I751" s="43"/>
      <c r="J751" s="43"/>
      <c r="K751" s="16"/>
      <c r="L751" s="43"/>
      <c r="M751" s="411"/>
      <c r="N751" s="411"/>
      <c r="O751" s="411"/>
      <c r="P751" s="411"/>
      <c r="Q751" s="411"/>
      <c r="R751" s="411"/>
      <c r="S751" s="411"/>
      <c r="T751" s="411"/>
      <c r="U751" s="411"/>
      <c r="V751" s="78"/>
      <c r="W751" s="78"/>
      <c r="X751" s="78"/>
      <c r="Y751" s="78"/>
      <c r="Z751" s="78"/>
      <c r="AA751" s="78"/>
      <c r="AB751" s="78"/>
      <c r="AC751" s="75"/>
      <c r="AD751" s="75"/>
      <c r="AE751" s="75"/>
      <c r="AF751" s="75"/>
      <c r="AG751" s="75"/>
      <c r="AH751" s="75"/>
      <c r="AI751" s="75"/>
      <c r="AJ751" s="75"/>
    </row>
    <row r="752" spans="1:36" s="44" customFormat="1" ht="15">
      <c r="A752" s="43"/>
      <c r="B752" s="43"/>
      <c r="C752" s="43"/>
      <c r="D752" s="43"/>
      <c r="E752" s="43"/>
      <c r="F752" s="43"/>
      <c r="G752" s="43"/>
      <c r="H752" s="43"/>
      <c r="I752" s="43"/>
      <c r="J752" s="43"/>
      <c r="K752" s="16"/>
      <c r="L752" s="43"/>
      <c r="M752" s="411"/>
      <c r="N752" s="411"/>
      <c r="O752" s="411"/>
      <c r="P752" s="411"/>
      <c r="Q752" s="411"/>
      <c r="R752" s="411"/>
      <c r="S752" s="411"/>
      <c r="T752" s="411"/>
      <c r="U752" s="411"/>
      <c r="V752" s="78"/>
      <c r="W752" s="78"/>
      <c r="X752" s="78"/>
      <c r="Y752" s="78"/>
      <c r="Z752" s="78"/>
      <c r="AA752" s="78"/>
      <c r="AB752" s="78"/>
      <c r="AC752" s="75"/>
      <c r="AD752" s="75"/>
      <c r="AE752" s="75"/>
      <c r="AF752" s="75"/>
      <c r="AG752" s="75"/>
      <c r="AH752" s="75"/>
      <c r="AI752" s="75"/>
      <c r="AJ752" s="75"/>
    </row>
    <row r="753" spans="1:36" s="44" customFormat="1" ht="15">
      <c r="A753" s="43"/>
      <c r="B753" s="43"/>
      <c r="C753" s="43"/>
      <c r="D753" s="43"/>
      <c r="E753" s="43"/>
      <c r="F753" s="43"/>
      <c r="G753" s="43"/>
      <c r="H753" s="43"/>
      <c r="I753" s="43"/>
      <c r="J753" s="43"/>
      <c r="K753" s="16"/>
      <c r="L753" s="43"/>
      <c r="M753" s="411"/>
      <c r="N753" s="411"/>
      <c r="O753" s="411"/>
      <c r="P753" s="411"/>
      <c r="Q753" s="411"/>
      <c r="R753" s="411"/>
      <c r="S753" s="411"/>
      <c r="T753" s="411"/>
      <c r="U753" s="411"/>
      <c r="V753" s="78"/>
      <c r="W753" s="78"/>
      <c r="X753" s="78"/>
      <c r="Y753" s="78"/>
      <c r="Z753" s="78"/>
      <c r="AA753" s="78"/>
      <c r="AB753" s="78"/>
      <c r="AC753" s="75"/>
      <c r="AD753" s="75"/>
      <c r="AE753" s="75"/>
      <c r="AF753" s="75"/>
      <c r="AG753" s="75"/>
      <c r="AH753" s="75"/>
      <c r="AI753" s="75"/>
      <c r="AJ753" s="75"/>
    </row>
    <row r="754" spans="1:36" s="44" customFormat="1" ht="15">
      <c r="A754" s="43"/>
      <c r="B754" s="43"/>
      <c r="C754" s="43"/>
      <c r="D754" s="43"/>
      <c r="E754" s="43"/>
      <c r="F754" s="43"/>
      <c r="G754" s="43"/>
      <c r="H754" s="43"/>
      <c r="I754" s="43"/>
      <c r="J754" s="43"/>
      <c r="K754" s="16"/>
      <c r="L754" s="43"/>
      <c r="M754" s="411"/>
      <c r="N754" s="411"/>
      <c r="O754" s="411"/>
      <c r="P754" s="411"/>
      <c r="Q754" s="411"/>
      <c r="R754" s="411"/>
      <c r="S754" s="411"/>
      <c r="T754" s="411"/>
      <c r="U754" s="411"/>
      <c r="V754" s="78"/>
      <c r="W754" s="78"/>
      <c r="X754" s="78"/>
      <c r="Y754" s="78"/>
      <c r="Z754" s="78"/>
      <c r="AA754" s="78"/>
      <c r="AB754" s="78"/>
      <c r="AC754" s="75"/>
      <c r="AD754" s="75"/>
      <c r="AE754" s="75"/>
      <c r="AF754" s="75"/>
      <c r="AG754" s="75"/>
      <c r="AH754" s="75"/>
      <c r="AI754" s="75"/>
      <c r="AJ754" s="75"/>
    </row>
    <row r="755" spans="1:36" s="44" customFormat="1" ht="15">
      <c r="A755" s="43"/>
      <c r="B755" s="43"/>
      <c r="C755" s="43"/>
      <c r="D755" s="43"/>
      <c r="E755" s="43"/>
      <c r="F755" s="43"/>
      <c r="G755" s="43"/>
      <c r="H755" s="43"/>
      <c r="I755" s="43"/>
      <c r="J755" s="43"/>
      <c r="K755" s="16"/>
      <c r="L755" s="43"/>
      <c r="M755" s="411"/>
      <c r="N755" s="411"/>
      <c r="O755" s="411"/>
      <c r="P755" s="411"/>
      <c r="Q755" s="411"/>
      <c r="R755" s="411"/>
      <c r="S755" s="411"/>
      <c r="T755" s="411"/>
      <c r="U755" s="411"/>
      <c r="V755" s="78"/>
      <c r="W755" s="78"/>
      <c r="X755" s="78"/>
      <c r="Y755" s="78"/>
      <c r="Z755" s="78"/>
      <c r="AA755" s="78"/>
      <c r="AB755" s="78"/>
      <c r="AC755" s="75"/>
      <c r="AD755" s="75"/>
      <c r="AE755" s="75"/>
      <c r="AF755" s="75"/>
      <c r="AG755" s="75"/>
      <c r="AH755" s="75"/>
      <c r="AI755" s="75"/>
      <c r="AJ755" s="75"/>
    </row>
    <row r="756" spans="1:36" s="44" customFormat="1" ht="15">
      <c r="A756" s="43"/>
      <c r="B756" s="43"/>
      <c r="C756" s="43"/>
      <c r="D756" s="43"/>
      <c r="E756" s="43"/>
      <c r="F756" s="43"/>
      <c r="G756" s="43"/>
      <c r="H756" s="43"/>
      <c r="I756" s="43"/>
      <c r="J756" s="43"/>
      <c r="K756" s="16"/>
      <c r="L756" s="43"/>
      <c r="M756" s="411"/>
      <c r="N756" s="411"/>
      <c r="O756" s="411"/>
      <c r="P756" s="411"/>
      <c r="Q756" s="411"/>
      <c r="R756" s="411"/>
      <c r="S756" s="411"/>
      <c r="T756" s="411"/>
      <c r="U756" s="411"/>
      <c r="V756" s="78"/>
      <c r="W756" s="78"/>
      <c r="X756" s="78"/>
      <c r="Y756" s="78"/>
      <c r="Z756" s="78"/>
      <c r="AA756" s="78"/>
      <c r="AB756" s="78"/>
      <c r="AC756" s="75"/>
      <c r="AD756" s="75"/>
      <c r="AE756" s="75"/>
      <c r="AF756" s="75"/>
      <c r="AG756" s="75"/>
      <c r="AH756" s="75"/>
      <c r="AI756" s="75"/>
      <c r="AJ756" s="75"/>
    </row>
    <row r="757" spans="1:36" s="44" customFormat="1" ht="15">
      <c r="A757" s="43"/>
      <c r="B757" s="43"/>
      <c r="C757" s="43"/>
      <c r="D757" s="43"/>
      <c r="E757" s="43"/>
      <c r="F757" s="43"/>
      <c r="G757" s="43"/>
      <c r="H757" s="43"/>
      <c r="I757" s="43"/>
      <c r="J757" s="43"/>
      <c r="K757" s="16"/>
      <c r="L757" s="43"/>
      <c r="M757" s="411"/>
      <c r="N757" s="411"/>
      <c r="O757" s="411"/>
      <c r="P757" s="411"/>
      <c r="Q757" s="411"/>
      <c r="R757" s="411"/>
      <c r="S757" s="411"/>
      <c r="T757" s="411"/>
      <c r="U757" s="411"/>
      <c r="V757" s="78"/>
      <c r="W757" s="78"/>
      <c r="X757" s="78"/>
      <c r="Y757" s="78"/>
      <c r="Z757" s="78"/>
      <c r="AA757" s="78"/>
      <c r="AB757" s="78"/>
      <c r="AC757" s="75"/>
      <c r="AD757" s="75"/>
      <c r="AE757" s="75"/>
      <c r="AF757" s="75"/>
      <c r="AG757" s="75"/>
      <c r="AH757" s="75"/>
      <c r="AI757" s="75"/>
      <c r="AJ757" s="75"/>
    </row>
    <row r="758" spans="1:36" s="44" customFormat="1" ht="15">
      <c r="A758" s="43"/>
      <c r="B758" s="43"/>
      <c r="C758" s="43"/>
      <c r="D758" s="43"/>
      <c r="E758" s="43"/>
      <c r="F758" s="43"/>
      <c r="G758" s="43"/>
      <c r="H758" s="43"/>
      <c r="I758" s="43"/>
      <c r="J758" s="43"/>
      <c r="K758" s="16"/>
      <c r="L758" s="43"/>
      <c r="M758" s="411"/>
      <c r="N758" s="411"/>
      <c r="O758" s="411"/>
      <c r="P758" s="411"/>
      <c r="Q758" s="411"/>
      <c r="R758" s="411"/>
      <c r="S758" s="411"/>
      <c r="T758" s="411"/>
      <c r="U758" s="411"/>
      <c r="V758" s="78"/>
      <c r="W758" s="78"/>
      <c r="X758" s="78"/>
      <c r="Y758" s="78"/>
      <c r="Z758" s="78"/>
      <c r="AA758" s="78"/>
      <c r="AB758" s="78"/>
      <c r="AC758" s="75"/>
      <c r="AD758" s="75"/>
      <c r="AE758" s="75"/>
      <c r="AF758" s="75"/>
      <c r="AG758" s="75"/>
      <c r="AH758" s="75"/>
      <c r="AI758" s="75"/>
      <c r="AJ758" s="75"/>
    </row>
    <row r="759" spans="11:36" s="44" customFormat="1" ht="15">
      <c r="K759" s="2"/>
      <c r="M759" s="411"/>
      <c r="N759" s="411"/>
      <c r="O759" s="411"/>
      <c r="P759" s="411"/>
      <c r="Q759" s="411"/>
      <c r="R759" s="411"/>
      <c r="S759" s="411"/>
      <c r="T759" s="411"/>
      <c r="U759" s="411"/>
      <c r="V759" s="78"/>
      <c r="W759" s="78"/>
      <c r="X759" s="78"/>
      <c r="Y759" s="78"/>
      <c r="Z759" s="78"/>
      <c r="AA759" s="78"/>
      <c r="AB759" s="78"/>
      <c r="AC759" s="75"/>
      <c r="AD759" s="75"/>
      <c r="AE759" s="75"/>
      <c r="AF759" s="75"/>
      <c r="AG759" s="75"/>
      <c r="AH759" s="75"/>
      <c r="AI759" s="75"/>
      <c r="AJ759" s="75"/>
    </row>
    <row r="760" spans="11:36" s="44" customFormat="1" ht="15">
      <c r="K760" s="2"/>
      <c r="M760" s="411"/>
      <c r="N760" s="411"/>
      <c r="O760" s="411"/>
      <c r="P760" s="411"/>
      <c r="Q760" s="411"/>
      <c r="R760" s="411"/>
      <c r="S760" s="411"/>
      <c r="T760" s="411"/>
      <c r="U760" s="411"/>
      <c r="V760" s="78"/>
      <c r="W760" s="78"/>
      <c r="X760" s="78"/>
      <c r="Y760" s="78"/>
      <c r="Z760" s="78"/>
      <c r="AA760" s="78"/>
      <c r="AB760" s="78"/>
      <c r="AC760" s="75"/>
      <c r="AD760" s="75"/>
      <c r="AE760" s="75"/>
      <c r="AF760" s="75"/>
      <c r="AG760" s="75"/>
      <c r="AH760" s="75"/>
      <c r="AI760" s="75"/>
      <c r="AJ760" s="75"/>
    </row>
    <row r="761" spans="11:36" s="44" customFormat="1" ht="15">
      <c r="K761" s="2"/>
      <c r="M761" s="411"/>
      <c r="N761" s="411"/>
      <c r="O761" s="411"/>
      <c r="P761" s="411"/>
      <c r="Q761" s="411"/>
      <c r="R761" s="411"/>
      <c r="S761" s="411"/>
      <c r="T761" s="411"/>
      <c r="U761" s="411"/>
      <c r="V761" s="78"/>
      <c r="W761" s="78"/>
      <c r="X761" s="78"/>
      <c r="Y761" s="78"/>
      <c r="Z761" s="78"/>
      <c r="AA761" s="78"/>
      <c r="AB761" s="78"/>
      <c r="AC761" s="75"/>
      <c r="AD761" s="75"/>
      <c r="AE761" s="75"/>
      <c r="AF761" s="75"/>
      <c r="AG761" s="75"/>
      <c r="AH761" s="75"/>
      <c r="AI761" s="75"/>
      <c r="AJ761" s="75"/>
    </row>
    <row r="762" spans="11:36" s="44" customFormat="1" ht="15">
      <c r="K762" s="2"/>
      <c r="M762" s="411"/>
      <c r="N762" s="411"/>
      <c r="O762" s="411"/>
      <c r="P762" s="411"/>
      <c r="Q762" s="411"/>
      <c r="R762" s="411"/>
      <c r="S762" s="411"/>
      <c r="T762" s="411"/>
      <c r="U762" s="411"/>
      <c r="V762" s="78"/>
      <c r="W762" s="78"/>
      <c r="X762" s="78"/>
      <c r="Y762" s="78"/>
      <c r="Z762" s="78"/>
      <c r="AA762" s="78"/>
      <c r="AB762" s="78"/>
      <c r="AC762" s="75"/>
      <c r="AD762" s="75"/>
      <c r="AE762" s="75"/>
      <c r="AF762" s="75"/>
      <c r="AG762" s="75"/>
      <c r="AH762" s="75"/>
      <c r="AI762" s="75"/>
      <c r="AJ762" s="75"/>
    </row>
    <row r="763" spans="11:36" s="44" customFormat="1" ht="15">
      <c r="K763" s="2"/>
      <c r="M763" s="411"/>
      <c r="N763" s="411"/>
      <c r="O763" s="411"/>
      <c r="P763" s="411"/>
      <c r="Q763" s="411"/>
      <c r="R763" s="411"/>
      <c r="S763" s="411"/>
      <c r="T763" s="411"/>
      <c r="U763" s="411"/>
      <c r="V763" s="78"/>
      <c r="W763" s="78"/>
      <c r="X763" s="78"/>
      <c r="Y763" s="78"/>
      <c r="Z763" s="78"/>
      <c r="AA763" s="78"/>
      <c r="AB763" s="78"/>
      <c r="AC763" s="75"/>
      <c r="AD763" s="75"/>
      <c r="AE763" s="75"/>
      <c r="AF763" s="75"/>
      <c r="AG763" s="75"/>
      <c r="AH763" s="75"/>
      <c r="AI763" s="75"/>
      <c r="AJ763" s="75"/>
    </row>
    <row r="764" spans="11:36" s="44" customFormat="1" ht="15">
      <c r="K764" s="2"/>
      <c r="M764" s="411"/>
      <c r="N764" s="411"/>
      <c r="O764" s="411"/>
      <c r="P764" s="411"/>
      <c r="Q764" s="411"/>
      <c r="R764" s="411"/>
      <c r="S764" s="411"/>
      <c r="T764" s="411"/>
      <c r="U764" s="411"/>
      <c r="V764" s="78"/>
      <c r="W764" s="78"/>
      <c r="X764" s="78"/>
      <c r="Y764" s="78"/>
      <c r="Z764" s="78"/>
      <c r="AA764" s="78"/>
      <c r="AB764" s="78"/>
      <c r="AC764" s="75"/>
      <c r="AD764" s="75"/>
      <c r="AE764" s="75"/>
      <c r="AF764" s="75"/>
      <c r="AG764" s="75"/>
      <c r="AH764" s="75"/>
      <c r="AI764" s="75"/>
      <c r="AJ764" s="75"/>
    </row>
    <row r="765" spans="11:36" s="44" customFormat="1" ht="15">
      <c r="K765" s="2"/>
      <c r="M765" s="411"/>
      <c r="N765" s="411"/>
      <c r="O765" s="411"/>
      <c r="P765" s="411"/>
      <c r="Q765" s="411"/>
      <c r="R765" s="411"/>
      <c r="S765" s="411"/>
      <c r="T765" s="411"/>
      <c r="U765" s="411"/>
      <c r="V765" s="78"/>
      <c r="W765" s="78"/>
      <c r="X765" s="78"/>
      <c r="Y765" s="78"/>
      <c r="Z765" s="78"/>
      <c r="AA765" s="78"/>
      <c r="AB765" s="78"/>
      <c r="AC765" s="75"/>
      <c r="AD765" s="75"/>
      <c r="AE765" s="75"/>
      <c r="AF765" s="75"/>
      <c r="AG765" s="75"/>
      <c r="AH765" s="75"/>
      <c r="AI765" s="75"/>
      <c r="AJ765" s="75"/>
    </row>
    <row r="766" spans="11:36" s="44" customFormat="1" ht="15">
      <c r="K766" s="2"/>
      <c r="M766" s="411"/>
      <c r="N766" s="411"/>
      <c r="O766" s="411"/>
      <c r="P766" s="411"/>
      <c r="Q766" s="411"/>
      <c r="R766" s="411"/>
      <c r="S766" s="411"/>
      <c r="T766" s="411"/>
      <c r="U766" s="411"/>
      <c r="V766" s="78"/>
      <c r="W766" s="78"/>
      <c r="X766" s="78"/>
      <c r="Y766" s="78"/>
      <c r="Z766" s="78"/>
      <c r="AA766" s="78"/>
      <c r="AB766" s="78"/>
      <c r="AC766" s="75"/>
      <c r="AD766" s="75"/>
      <c r="AE766" s="75"/>
      <c r="AF766" s="75"/>
      <c r="AG766" s="75"/>
      <c r="AH766" s="75"/>
      <c r="AI766" s="75"/>
      <c r="AJ766" s="75"/>
    </row>
    <row r="767" spans="11:36" s="44" customFormat="1" ht="15">
      <c r="K767" s="2"/>
      <c r="M767" s="411"/>
      <c r="N767" s="411"/>
      <c r="O767" s="411"/>
      <c r="P767" s="411"/>
      <c r="Q767" s="411"/>
      <c r="R767" s="411"/>
      <c r="S767" s="411"/>
      <c r="T767" s="411"/>
      <c r="U767" s="411"/>
      <c r="V767" s="78"/>
      <c r="W767" s="78"/>
      <c r="X767" s="78"/>
      <c r="Y767" s="78"/>
      <c r="Z767" s="78"/>
      <c r="AA767" s="78"/>
      <c r="AB767" s="78"/>
      <c r="AC767" s="75"/>
      <c r="AD767" s="75"/>
      <c r="AE767" s="75"/>
      <c r="AF767" s="75"/>
      <c r="AG767" s="75"/>
      <c r="AH767" s="75"/>
      <c r="AI767" s="75"/>
      <c r="AJ767" s="75"/>
    </row>
    <row r="768" spans="11:36" s="44" customFormat="1" ht="15">
      <c r="K768" s="2"/>
      <c r="M768" s="411"/>
      <c r="N768" s="411"/>
      <c r="O768" s="411"/>
      <c r="P768" s="411"/>
      <c r="Q768" s="411"/>
      <c r="R768" s="411"/>
      <c r="S768" s="411"/>
      <c r="T768" s="411"/>
      <c r="U768" s="411"/>
      <c r="V768" s="78"/>
      <c r="W768" s="78"/>
      <c r="X768" s="78"/>
      <c r="Y768" s="78"/>
      <c r="Z768" s="78"/>
      <c r="AA768" s="78"/>
      <c r="AB768" s="78"/>
      <c r="AC768" s="75"/>
      <c r="AD768" s="75"/>
      <c r="AE768" s="75"/>
      <c r="AF768" s="75"/>
      <c r="AG768" s="75"/>
      <c r="AH768" s="75"/>
      <c r="AI768" s="75"/>
      <c r="AJ768" s="75"/>
    </row>
    <row r="769" spans="11:36" s="44" customFormat="1" ht="15">
      <c r="K769" s="2"/>
      <c r="M769" s="411"/>
      <c r="N769" s="411"/>
      <c r="O769" s="411"/>
      <c r="P769" s="411"/>
      <c r="Q769" s="411"/>
      <c r="R769" s="411"/>
      <c r="S769" s="411"/>
      <c r="T769" s="411"/>
      <c r="U769" s="411"/>
      <c r="V769" s="78"/>
      <c r="W769" s="78"/>
      <c r="X769" s="78"/>
      <c r="Y769" s="78"/>
      <c r="Z769" s="78"/>
      <c r="AA769" s="78"/>
      <c r="AB769" s="78"/>
      <c r="AC769" s="75"/>
      <c r="AD769" s="75"/>
      <c r="AE769" s="75"/>
      <c r="AF769" s="75"/>
      <c r="AG769" s="75"/>
      <c r="AH769" s="75"/>
      <c r="AI769" s="75"/>
      <c r="AJ769" s="75"/>
    </row>
    <row r="770" spans="11:36" s="44" customFormat="1" ht="15">
      <c r="K770" s="2"/>
      <c r="M770" s="411"/>
      <c r="N770" s="411"/>
      <c r="O770" s="411"/>
      <c r="P770" s="411"/>
      <c r="Q770" s="411"/>
      <c r="R770" s="411"/>
      <c r="S770" s="411"/>
      <c r="T770" s="411"/>
      <c r="U770" s="411"/>
      <c r="V770" s="78"/>
      <c r="W770" s="78"/>
      <c r="X770" s="78"/>
      <c r="Y770" s="78"/>
      <c r="Z770" s="78"/>
      <c r="AA770" s="78"/>
      <c r="AB770" s="78"/>
      <c r="AC770" s="75"/>
      <c r="AD770" s="75"/>
      <c r="AE770" s="75"/>
      <c r="AF770" s="75"/>
      <c r="AG770" s="75"/>
      <c r="AH770" s="75"/>
      <c r="AI770" s="75"/>
      <c r="AJ770" s="75"/>
    </row>
    <row r="771" spans="11:36" s="44" customFormat="1" ht="15">
      <c r="K771" s="2"/>
      <c r="M771" s="411"/>
      <c r="N771" s="411"/>
      <c r="O771" s="411"/>
      <c r="P771" s="411"/>
      <c r="Q771" s="411"/>
      <c r="R771" s="411"/>
      <c r="S771" s="411"/>
      <c r="T771" s="411"/>
      <c r="U771" s="411"/>
      <c r="V771" s="78"/>
      <c r="W771" s="78"/>
      <c r="X771" s="78"/>
      <c r="Y771" s="78"/>
      <c r="Z771" s="78"/>
      <c r="AA771" s="78"/>
      <c r="AB771" s="78"/>
      <c r="AC771" s="75"/>
      <c r="AD771" s="75"/>
      <c r="AE771" s="75"/>
      <c r="AF771" s="75"/>
      <c r="AG771" s="75"/>
      <c r="AH771" s="75"/>
      <c r="AI771" s="75"/>
      <c r="AJ771" s="75"/>
    </row>
    <row r="772" spans="11:36" s="44" customFormat="1" ht="15">
      <c r="K772" s="2"/>
      <c r="M772" s="411"/>
      <c r="N772" s="411"/>
      <c r="O772" s="411"/>
      <c r="P772" s="411"/>
      <c r="Q772" s="411"/>
      <c r="R772" s="411"/>
      <c r="S772" s="411"/>
      <c r="T772" s="411"/>
      <c r="U772" s="411"/>
      <c r="V772" s="78"/>
      <c r="W772" s="78"/>
      <c r="X772" s="78"/>
      <c r="Y772" s="78"/>
      <c r="Z772" s="78"/>
      <c r="AA772" s="78"/>
      <c r="AB772" s="78"/>
      <c r="AC772" s="75"/>
      <c r="AD772" s="75"/>
      <c r="AE772" s="75"/>
      <c r="AF772" s="75"/>
      <c r="AG772" s="75"/>
      <c r="AH772" s="75"/>
      <c r="AI772" s="75"/>
      <c r="AJ772" s="75"/>
    </row>
    <row r="773" spans="11:36" s="44" customFormat="1" ht="15">
      <c r="K773" s="2"/>
      <c r="M773" s="411"/>
      <c r="N773" s="411"/>
      <c r="O773" s="411"/>
      <c r="P773" s="411"/>
      <c r="Q773" s="411"/>
      <c r="R773" s="411"/>
      <c r="S773" s="411"/>
      <c r="T773" s="411"/>
      <c r="U773" s="411"/>
      <c r="V773" s="78"/>
      <c r="W773" s="78"/>
      <c r="X773" s="78"/>
      <c r="Y773" s="78"/>
      <c r="Z773" s="78"/>
      <c r="AA773" s="78"/>
      <c r="AB773" s="78"/>
      <c r="AC773" s="75"/>
      <c r="AD773" s="75"/>
      <c r="AE773" s="75"/>
      <c r="AF773" s="75"/>
      <c r="AG773" s="75"/>
      <c r="AH773" s="75"/>
      <c r="AI773" s="75"/>
      <c r="AJ773" s="75"/>
    </row>
    <row r="774" spans="11:36" s="44" customFormat="1" ht="15">
      <c r="K774" s="2"/>
      <c r="M774" s="411"/>
      <c r="N774" s="411"/>
      <c r="O774" s="411"/>
      <c r="P774" s="411"/>
      <c r="Q774" s="411"/>
      <c r="R774" s="411"/>
      <c r="S774" s="411"/>
      <c r="T774" s="411"/>
      <c r="U774" s="411"/>
      <c r="V774" s="78"/>
      <c r="W774" s="78"/>
      <c r="X774" s="78"/>
      <c r="Y774" s="78"/>
      <c r="Z774" s="78"/>
      <c r="AA774" s="78"/>
      <c r="AB774" s="78"/>
      <c r="AC774" s="75"/>
      <c r="AD774" s="75"/>
      <c r="AE774" s="75"/>
      <c r="AF774" s="75"/>
      <c r="AG774" s="75"/>
      <c r="AH774" s="75"/>
      <c r="AI774" s="75"/>
      <c r="AJ774" s="75"/>
    </row>
    <row r="775" spans="1:12" ht="15">
      <c r="A775" s="44"/>
      <c r="B775" s="44"/>
      <c r="C775" s="44"/>
      <c r="D775" s="44"/>
      <c r="E775" s="44"/>
      <c r="F775" s="44"/>
      <c r="G775" s="44"/>
      <c r="H775" s="44"/>
      <c r="I775" s="44"/>
      <c r="J775" s="44"/>
      <c r="L775" s="44"/>
    </row>
    <row r="776" spans="1:12" ht="15">
      <c r="A776" s="44"/>
      <c r="B776" s="44"/>
      <c r="C776" s="44"/>
      <c r="D776" s="44"/>
      <c r="E776" s="44"/>
      <c r="F776" s="44"/>
      <c r="G776" s="44"/>
      <c r="H776" s="44"/>
      <c r="I776" s="44"/>
      <c r="J776" s="44"/>
      <c r="L776" s="44"/>
    </row>
    <row r="777" spans="1:12" ht="15">
      <c r="A777" s="2"/>
      <c r="B777" s="2"/>
      <c r="C777" s="2"/>
      <c r="D777" s="2"/>
      <c r="E777" s="2"/>
      <c r="F777" s="2"/>
      <c r="G777" s="2"/>
      <c r="H777" s="2"/>
      <c r="I777" s="2"/>
      <c r="J777" s="2"/>
      <c r="L777" s="2"/>
    </row>
    <row r="778" spans="1:12" ht="15">
      <c r="A778" s="2"/>
      <c r="B778" s="2"/>
      <c r="C778" s="2"/>
      <c r="D778" s="2"/>
      <c r="E778" s="2"/>
      <c r="F778" s="2"/>
      <c r="G778" s="2"/>
      <c r="H778" s="2"/>
      <c r="I778" s="2"/>
      <c r="J778" s="2"/>
      <c r="L778" s="2"/>
    </row>
    <row r="779" spans="1:12" ht="15">
      <c r="A779" s="2"/>
      <c r="B779" s="2"/>
      <c r="C779" s="2"/>
      <c r="D779" s="2"/>
      <c r="E779" s="2"/>
      <c r="F779" s="2"/>
      <c r="G779" s="2"/>
      <c r="H779" s="2"/>
      <c r="I779" s="2"/>
      <c r="J779" s="2"/>
      <c r="L779" s="2"/>
    </row>
    <row r="780" spans="1:12" ht="15">
      <c r="A780" s="2"/>
      <c r="B780" s="2"/>
      <c r="C780" s="2"/>
      <c r="D780" s="2"/>
      <c r="E780" s="2"/>
      <c r="F780" s="2"/>
      <c r="G780" s="2"/>
      <c r="H780" s="2"/>
      <c r="I780" s="2"/>
      <c r="J780" s="2"/>
      <c r="L780" s="2"/>
    </row>
  </sheetData>
  <sheetProtection/>
  <mergeCells count="49">
    <mergeCell ref="S6:S9"/>
    <mergeCell ref="U6:U9"/>
    <mergeCell ref="U727:U728"/>
    <mergeCell ref="P727:P728"/>
    <mergeCell ref="T727:T728"/>
    <mergeCell ref="J745:O745"/>
    <mergeCell ref="L258:L259"/>
    <mergeCell ref="L628:L629"/>
    <mergeCell ref="N727:N728"/>
    <mergeCell ref="T6:T9"/>
    <mergeCell ref="M746:O746"/>
    <mergeCell ref="A742:N742"/>
    <mergeCell ref="Q727:Q728"/>
    <mergeCell ref="A743:P744"/>
    <mergeCell ref="L435:L436"/>
    <mergeCell ref="L213:L214"/>
    <mergeCell ref="L240:L241"/>
    <mergeCell ref="L408:L409"/>
    <mergeCell ref="M727:M728"/>
    <mergeCell ref="O727:O728"/>
    <mergeCell ref="B747:I747"/>
    <mergeCell ref="L585:L586"/>
    <mergeCell ref="A737:J737"/>
    <mergeCell ref="B746:I746"/>
    <mergeCell ref="L664:L665"/>
    <mergeCell ref="L541:L542"/>
    <mergeCell ref="A736:J736"/>
    <mergeCell ref="L698:L700"/>
    <mergeCell ref="L639:L640"/>
    <mergeCell ref="L656:L657"/>
    <mergeCell ref="A1:L1"/>
    <mergeCell ref="J8:J9"/>
    <mergeCell ref="L326:L327"/>
    <mergeCell ref="L462:L463"/>
    <mergeCell ref="L362:L363"/>
    <mergeCell ref="L510:L511"/>
    <mergeCell ref="L476:L477"/>
    <mergeCell ref="L101:L102"/>
    <mergeCell ref="A132:I132"/>
    <mergeCell ref="L59:L60"/>
    <mergeCell ref="R6:R9"/>
    <mergeCell ref="A2:L2"/>
    <mergeCell ref="C8:I8"/>
    <mergeCell ref="A3:L3"/>
    <mergeCell ref="Q6:Q9"/>
    <mergeCell ref="O6:O9"/>
    <mergeCell ref="M6:M9"/>
    <mergeCell ref="N6:N9"/>
    <mergeCell ref="P6:P9"/>
  </mergeCells>
  <printOptions/>
  <pageMargins left="0.4330708661417323" right="0.03937007874015748" top="0.7480314960629921" bottom="0.7480314960629921" header="0.31496062992125984" footer="0.31496062992125984"/>
  <pageSetup horizontalDpi="600" verticalDpi="600" orientation="portrait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II.Izmjene proračuna Općine Kistanje za 2019.</dc:title>
  <dc:subject/>
  <dc:creator>Marijan</dc:creator>
  <cp:keywords/>
  <dc:description/>
  <cp:lastModifiedBy>Korisnik</cp:lastModifiedBy>
  <cp:lastPrinted>2024-06-18T06:35:20Z</cp:lastPrinted>
  <dcterms:created xsi:type="dcterms:W3CDTF">2014-12-01T12:56:38Z</dcterms:created>
  <dcterms:modified xsi:type="dcterms:W3CDTF">2024-06-18T06:36:30Z</dcterms:modified>
  <cp:category/>
  <cp:version/>
  <cp:contentType/>
  <cp:contentStatus/>
</cp:coreProperties>
</file>